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Backup\Test Files\Test-Download\"/>
    </mc:Choice>
  </mc:AlternateContent>
  <xr:revisionPtr revIDLastSave="0" documentId="13_ncr:1_{78F655CC-F062-4CE9-831E-F5036560D9B7}" xr6:coauthVersionLast="47" xr6:coauthVersionMax="47" xr10:uidLastSave="{00000000-0000-0000-0000-000000000000}"/>
  <bookViews>
    <workbookView xWindow="-108" yWindow="-108" windowWidth="23256" windowHeight="12456" activeTab="1"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2" i="28" l="1"/>
  <c r="H23" i="28"/>
  <c r="H24" i="28"/>
  <c r="H25" i="28"/>
  <c r="H26" i="28"/>
  <c r="H27" i="28"/>
  <c r="H28" i="28"/>
  <c r="H29" i="28"/>
  <c r="H30" i="28"/>
  <c r="H31" i="28"/>
  <c r="H32" i="28"/>
  <c r="H33" i="28"/>
  <c r="H17" i="28"/>
  <c r="H18" i="28"/>
  <c r="H19" i="28"/>
  <c r="H20" i="28"/>
  <c r="H21" i="28"/>
  <c r="H16" i="28"/>
  <c r="H3" i="28"/>
  <c r="H5" i="28"/>
  <c r="BT36" i="28" s="1"/>
  <c r="BQ17" i="28"/>
  <c r="BQ18" i="28"/>
  <c r="BQ19" i="28"/>
  <c r="BQ20" i="28"/>
  <c r="BQ21" i="28"/>
  <c r="BQ24" i="28"/>
  <c r="BQ25" i="28"/>
  <c r="BQ26" i="28"/>
  <c r="BQ27" i="28"/>
  <c r="BQ28" i="28"/>
  <c r="BQ29" i="28"/>
  <c r="BQ30" i="28"/>
  <c r="BQ31" i="28"/>
  <c r="BQ32" i="28"/>
  <c r="BQ33" i="28"/>
  <c r="BQ34" i="28"/>
  <c r="BQ16" i="28"/>
  <c r="BS17" i="28"/>
  <c r="BS18" i="28"/>
  <c r="BS19" i="28"/>
  <c r="BS20" i="28"/>
  <c r="BS21" i="28"/>
  <c r="BS24" i="28"/>
  <c r="BS25" i="28"/>
  <c r="BS26" i="28"/>
  <c r="BS27" i="28"/>
  <c r="BS28" i="28"/>
  <c r="BS29" i="28"/>
  <c r="BS30" i="28"/>
  <c r="BS31" i="28"/>
  <c r="BS32" i="28"/>
  <c r="BS33" i="28"/>
  <c r="BS16" i="28"/>
  <c r="H7" i="28"/>
  <c r="O49" i="13" a="1"/>
  <c r="O49" i="13" s="1"/>
  <c r="O50" i="13" a="1"/>
  <c r="O50" i="13"/>
  <c r="O51" i="13" a="1"/>
  <c r="O51" i="13" s="1"/>
  <c r="O52" i="13" a="1"/>
  <c r="O52" i="13"/>
  <c r="O53" i="13" a="1"/>
  <c r="O53" i="13" s="1"/>
  <c r="O54" i="13" a="1"/>
  <c r="O54" i="13" s="1"/>
  <c r="O55" i="13" a="1"/>
  <c r="O55" i="13" s="1"/>
  <c r="O56" i="13" a="1"/>
  <c r="O56" i="13" s="1"/>
  <c r="O57" i="13" a="1"/>
  <c r="O57" i="13"/>
  <c r="O58" i="13" a="1"/>
  <c r="O58" i="13" s="1"/>
  <c r="O59" i="13" a="1"/>
  <c r="O59" i="13"/>
  <c r="O60" i="13" a="1"/>
  <c r="O60" i="13"/>
  <c r="O61" i="13" a="1"/>
  <c r="O61" i="13" s="1"/>
  <c r="O62" i="13" a="1"/>
  <c r="O62" i="13"/>
  <c r="O63" i="13" a="1"/>
  <c r="O63" i="13" s="1"/>
  <c r="O64" i="13" a="1"/>
  <c r="O64" i="13"/>
  <c r="O65" i="13" a="1"/>
  <c r="O65" i="13" s="1"/>
  <c r="O66" i="13" a="1"/>
  <c r="O66" i="13"/>
  <c r="O67" i="13" a="1"/>
  <c r="O67" i="13"/>
  <c r="O68" i="13" a="1"/>
  <c r="O68" i="13" s="1"/>
  <c r="O69" i="13" a="1"/>
  <c r="O69" i="13"/>
  <c r="O70" i="13" a="1"/>
  <c r="O70" i="13" s="1"/>
  <c r="O71" i="13" a="1"/>
  <c r="O71" i="13"/>
  <c r="O72" i="13" a="1"/>
  <c r="O72" i="13" s="1"/>
  <c r="O73" i="13" a="1"/>
  <c r="O73" i="13"/>
  <c r="O74" i="13" a="1"/>
  <c r="O74" i="13"/>
  <c r="O75" i="13" a="1"/>
  <c r="O75" i="13" s="1"/>
  <c r="O76" i="13" a="1"/>
  <c r="O76" i="13"/>
  <c r="O77" i="13" a="1"/>
  <c r="O77" i="13" s="1"/>
  <c r="O78" i="13" a="1"/>
  <c r="O78" i="13"/>
  <c r="O79" i="13" a="1"/>
  <c r="O79" i="13" s="1"/>
  <c r="O80" i="13" a="1"/>
  <c r="O80" i="13"/>
  <c r="O81" i="13" a="1"/>
  <c r="O81" i="13"/>
  <c r="O82" i="13" a="1"/>
  <c r="O82" i="13" s="1"/>
  <c r="O83" i="13" a="1"/>
  <c r="O83" i="13"/>
  <c r="O84" i="13" a="1"/>
  <c r="O84" i="13" s="1"/>
  <c r="O85" i="13" a="1"/>
  <c r="O85" i="13"/>
  <c r="O86" i="13" a="1"/>
  <c r="O86" i="13" s="1"/>
  <c r="O87" i="13" a="1"/>
  <c r="O87" i="13"/>
  <c r="O88" i="13" a="1"/>
  <c r="O88" i="13"/>
  <c r="O89" i="13" a="1"/>
  <c r="O89" i="13" s="1"/>
  <c r="O90" i="13" a="1"/>
  <c r="O90" i="13"/>
  <c r="O91" i="13" a="1"/>
  <c r="O91" i="13" s="1"/>
  <c r="O92" i="13" a="1"/>
  <c r="O92" i="13"/>
  <c r="O93" i="13" a="1"/>
  <c r="O93" i="13" s="1"/>
  <c r="O94" i="13" a="1"/>
  <c r="O94" i="13"/>
  <c r="O95" i="13" a="1"/>
  <c r="O95" i="13"/>
  <c r="O96" i="13" a="1"/>
  <c r="O96" i="13" s="1"/>
  <c r="O97" i="13" a="1"/>
  <c r="O97" i="13"/>
  <c r="O98" i="13" a="1"/>
  <c r="O98" i="13" s="1"/>
  <c r="O99" i="13" a="1"/>
  <c r="O99" i="13"/>
  <c r="O100" i="13" a="1"/>
  <c r="O100" i="13" s="1"/>
  <c r="O101" i="13" a="1"/>
  <c r="O101" i="13"/>
  <c r="O102" i="13" a="1"/>
  <c r="O102" i="13"/>
  <c r="O103" i="13" a="1"/>
  <c r="O103" i="13" s="1"/>
  <c r="O104" i="13" a="1"/>
  <c r="O104" i="13"/>
  <c r="O105" i="13" a="1"/>
  <c r="O105" i="13" s="1"/>
  <c r="O106" i="13" a="1"/>
  <c r="O106" i="13"/>
  <c r="O107" i="13" a="1"/>
  <c r="O107" i="13" s="1"/>
  <c r="O108" i="13" a="1"/>
  <c r="O108" i="13"/>
  <c r="O109" i="13" a="1"/>
  <c r="O109" i="13"/>
  <c r="O110" i="13" a="1"/>
  <c r="O110" i="13" s="1"/>
  <c r="O111" i="13" a="1"/>
  <c r="O111" i="13"/>
  <c r="O112" i="13" a="1"/>
  <c r="O112" i="13" s="1"/>
  <c r="O113" i="13" a="1"/>
  <c r="O113" i="13"/>
  <c r="O114" i="13" a="1"/>
  <c r="O114" i="13" s="1"/>
  <c r="O115" i="13" a="1"/>
  <c r="O115" i="13"/>
  <c r="O116" i="13" a="1"/>
  <c r="O116" i="13"/>
  <c r="O117" i="13" a="1"/>
  <c r="O117" i="13" s="1"/>
  <c r="O118" i="13" a="1"/>
  <c r="O118" i="13"/>
  <c r="O119" i="13" a="1"/>
  <c r="O119" i="13" s="1"/>
  <c r="O120" i="13" a="1"/>
  <c r="O120" i="13"/>
  <c r="O121" i="13" a="1"/>
  <c r="O121" i="13" s="1"/>
  <c r="O122" i="13" a="1"/>
  <c r="O122" i="13"/>
  <c r="O123" i="13" a="1"/>
  <c r="O123" i="13"/>
  <c r="O124" i="13" a="1"/>
  <c r="O124" i="13" s="1"/>
  <c r="O125" i="13" a="1"/>
  <c r="O125" i="13"/>
  <c r="O126" i="13" a="1"/>
  <c r="O126" i="13" s="1"/>
  <c r="O127" i="13" a="1"/>
  <c r="O127" i="13"/>
  <c r="O128" i="13" a="1"/>
  <c r="O128" i="13" s="1"/>
  <c r="O129" i="13" a="1"/>
  <c r="O129" i="13"/>
  <c r="O130" i="13" a="1"/>
  <c r="O130" i="13"/>
  <c r="O131" i="13" a="1"/>
  <c r="O131" i="13" s="1"/>
  <c r="O132" i="13" a="1"/>
  <c r="O132" i="13"/>
  <c r="O133" i="13" a="1"/>
  <c r="O133" i="13" s="1"/>
  <c r="O134" i="13" a="1"/>
  <c r="O134" i="13"/>
  <c r="O135" i="13" a="1"/>
  <c r="O135" i="13" s="1"/>
  <c r="O136" i="13" a="1"/>
  <c r="O136" i="13"/>
  <c r="O137" i="13" a="1"/>
  <c r="O137" i="13"/>
  <c r="O138" i="13" a="1"/>
  <c r="O138" i="13" s="1"/>
  <c r="O139" i="13" a="1"/>
  <c r="O139" i="13"/>
  <c r="O140" i="13" a="1"/>
  <c r="O140" i="13" s="1"/>
  <c r="O141" i="13" a="1"/>
  <c r="O141" i="13"/>
  <c r="O142" i="13" a="1"/>
  <c r="O142" i="13" s="1"/>
  <c r="O143" i="13" a="1"/>
  <c r="O143" i="13"/>
  <c r="O144" i="13" a="1"/>
  <c r="O144" i="13"/>
  <c r="O145" i="13" a="1"/>
  <c r="O145" i="13" s="1"/>
  <c r="O146" i="13" a="1"/>
  <c r="O146" i="13"/>
  <c r="O147" i="13" a="1"/>
  <c r="O147" i="13" s="1"/>
  <c r="Q17" i="28"/>
  <c r="P17" i="28"/>
  <c r="O17" i="28"/>
  <c r="N17" i="28"/>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49" i="13"/>
  <c r="V50" i="13"/>
  <c r="V51" i="13"/>
  <c r="V52" i="13"/>
  <c r="V53"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N49" i="13" a="1"/>
  <c r="N49" i="13" s="1"/>
  <c r="N50" i="13" a="1"/>
  <c r="N50" i="13" s="1"/>
  <c r="N51" i="13" a="1"/>
  <c r="N51" i="13"/>
  <c r="N52" i="13" a="1"/>
  <c r="N52" i="13" s="1"/>
  <c r="N53" i="13" a="1"/>
  <c r="N53" i="13" s="1"/>
  <c r="N54" i="13" a="1"/>
  <c r="N54" i="13" s="1"/>
  <c r="N55" i="13" a="1"/>
  <c r="N55" i="13" s="1"/>
  <c r="N56" i="13" a="1"/>
  <c r="N56" i="13" s="1"/>
  <c r="N57" i="13" a="1"/>
  <c r="N57" i="13"/>
  <c r="N58" i="13" a="1"/>
  <c r="N58" i="13" s="1"/>
  <c r="N59" i="13" a="1"/>
  <c r="N59" i="13"/>
  <c r="N60" i="13" a="1"/>
  <c r="N60" i="13" s="1"/>
  <c r="N61" i="13" a="1"/>
  <c r="N61" i="13" s="1"/>
  <c r="N62" i="13" a="1"/>
  <c r="N62" i="13" s="1"/>
  <c r="N63" i="13" a="1"/>
  <c r="N63" i="13" s="1"/>
  <c r="N64" i="13" a="1"/>
  <c r="N64" i="13" s="1"/>
  <c r="N65" i="13" a="1"/>
  <c r="N65" i="13" s="1"/>
  <c r="N66" i="13" a="1"/>
  <c r="N66" i="13" s="1"/>
  <c r="N67" i="13" a="1"/>
  <c r="N67" i="13" s="1"/>
  <c r="N68" i="13" a="1"/>
  <c r="N68" i="13" s="1"/>
  <c r="N69" i="13" a="1"/>
  <c r="N69" i="13" s="1"/>
  <c r="N70" i="13" a="1"/>
  <c r="N70" i="13" s="1"/>
  <c r="N71" i="13" a="1"/>
  <c r="N71" i="13"/>
  <c r="N72" i="13" a="1"/>
  <c r="N72" i="13" s="1"/>
  <c r="N73" i="13" a="1"/>
  <c r="N73" i="13"/>
  <c r="N74" i="13" a="1"/>
  <c r="N74" i="13" s="1"/>
  <c r="N75" i="13" a="1"/>
  <c r="N75" i="13" s="1"/>
  <c r="N76" i="13" a="1"/>
  <c r="N76" i="13" s="1"/>
  <c r="N77" i="13" a="1"/>
  <c r="N77" i="13" s="1"/>
  <c r="N78" i="13" a="1"/>
  <c r="N78" i="13" s="1"/>
  <c r="N79" i="13" a="1"/>
  <c r="N79" i="13"/>
  <c r="N80" i="13" a="1"/>
  <c r="N80" i="13" s="1"/>
  <c r="N81" i="13" a="1"/>
  <c r="N81" i="13"/>
  <c r="N82" i="13" a="1"/>
  <c r="N82" i="13" s="1"/>
  <c r="N83" i="13" a="1"/>
  <c r="N83" i="13" s="1"/>
  <c r="N84" i="13" a="1"/>
  <c r="N84" i="13" s="1"/>
  <c r="N85" i="13" a="1"/>
  <c r="N85" i="13" s="1"/>
  <c r="N86" i="13" a="1"/>
  <c r="N86" i="13" s="1"/>
  <c r="N87" i="13" a="1"/>
  <c r="N87" i="13" s="1"/>
  <c r="N88" i="13" a="1"/>
  <c r="N88" i="13" s="1"/>
  <c r="N89" i="13" a="1"/>
  <c r="N89" i="13" s="1"/>
  <c r="N90" i="13" a="1"/>
  <c r="N90" i="13" s="1"/>
  <c r="N91" i="13" a="1"/>
  <c r="N91" i="13" s="1"/>
  <c r="N92" i="13" a="1"/>
  <c r="N92" i="13"/>
  <c r="N93" i="13" a="1"/>
  <c r="N93" i="13" s="1"/>
  <c r="N94" i="13" a="1"/>
  <c r="N94" i="13" s="1"/>
  <c r="N95" i="13" a="1"/>
  <c r="N95" i="13" s="1"/>
  <c r="N96" i="13" a="1"/>
  <c r="N96" i="13" s="1"/>
  <c r="N97" i="13" a="1"/>
  <c r="N97" i="13" s="1"/>
  <c r="N98" i="13" a="1"/>
  <c r="N98" i="13" s="1"/>
  <c r="N99" i="13" a="1"/>
  <c r="N99" i="13" s="1"/>
  <c r="N100" i="13" a="1"/>
  <c r="N100" i="13" s="1"/>
  <c r="N101" i="13" a="1"/>
  <c r="N101" i="13"/>
  <c r="N102" i="13" a="1"/>
  <c r="N102" i="13" s="1"/>
  <c r="N103" i="13" a="1"/>
  <c r="N103" i="13" s="1"/>
  <c r="N104" i="13" a="1"/>
  <c r="N104" i="13"/>
  <c r="N105" i="13" a="1"/>
  <c r="N105" i="13" s="1"/>
  <c r="N106" i="13" a="1"/>
  <c r="N106" i="13"/>
  <c r="N107" i="13" a="1"/>
  <c r="N107" i="13" s="1"/>
  <c r="N108" i="13" a="1"/>
  <c r="N108" i="13" s="1"/>
  <c r="N109" i="13" a="1"/>
  <c r="N109" i="13" s="1"/>
  <c r="N110" i="13" a="1"/>
  <c r="N110" i="13" s="1"/>
  <c r="N111" i="13" a="1"/>
  <c r="N111" i="13"/>
  <c r="N112" i="13" a="1"/>
  <c r="N112" i="13" s="1"/>
  <c r="N113" i="13" a="1"/>
  <c r="N113" i="13"/>
  <c r="N114" i="13" a="1"/>
  <c r="N114" i="13" s="1"/>
  <c r="N115" i="13" a="1"/>
  <c r="N115" i="13" s="1"/>
  <c r="N116" i="13" a="1"/>
  <c r="N116" i="13" s="1"/>
  <c r="N117" i="13" a="1"/>
  <c r="N117" i="13" s="1"/>
  <c r="N118" i="13" a="1"/>
  <c r="N118" i="13" s="1"/>
  <c r="N119" i="13" a="1"/>
  <c r="N119" i="13" s="1"/>
  <c r="N120" i="13" a="1"/>
  <c r="N120" i="13" s="1"/>
  <c r="N121" i="13" a="1"/>
  <c r="N121" i="13" s="1"/>
  <c r="N122" i="13" a="1"/>
  <c r="N122" i="13" s="1"/>
  <c r="N123" i="13" a="1"/>
  <c r="N123" i="13" s="1"/>
  <c r="N124" i="13" a="1"/>
  <c r="N124" i="13" s="1"/>
  <c r="N125" i="13" a="1"/>
  <c r="N125" i="13" s="1"/>
  <c r="N126" i="13" a="1"/>
  <c r="N126" i="13" s="1"/>
  <c r="N127" i="13" a="1"/>
  <c r="N127" i="13" s="1"/>
  <c r="N128" i="13" a="1"/>
  <c r="N128" i="13" s="1"/>
  <c r="N129" i="13" a="1"/>
  <c r="N129" i="13" s="1"/>
  <c r="N130" i="13" a="1"/>
  <c r="N130" i="13" s="1"/>
  <c r="N131" i="13" a="1"/>
  <c r="N131" i="13" s="1"/>
  <c r="N132" i="13" a="1"/>
  <c r="N132" i="13" s="1"/>
  <c r="N133" i="13" a="1"/>
  <c r="N133" i="13" s="1"/>
  <c r="N134" i="13" a="1"/>
  <c r="N134" i="13" s="1"/>
  <c r="N135" i="13" a="1"/>
  <c r="N135" i="13" s="1"/>
  <c r="N136" i="13" a="1"/>
  <c r="N136" i="13" s="1"/>
  <c r="N137" i="13" a="1"/>
  <c r="N137" i="13"/>
  <c r="N138" i="13" a="1"/>
  <c r="N138" i="13" s="1"/>
  <c r="N139" i="13" a="1"/>
  <c r="N139" i="13" s="1"/>
  <c r="N140" i="13" a="1"/>
  <c r="N140" i="13" s="1"/>
  <c r="N141" i="13" a="1"/>
  <c r="N141" i="13"/>
  <c r="N142" i="13" a="1"/>
  <c r="N142" i="13" s="1"/>
  <c r="N143" i="13" a="1"/>
  <c r="N143" i="13" s="1"/>
  <c r="N144" i="13" a="1"/>
  <c r="N144" i="13" s="1"/>
  <c r="N145" i="13" a="1"/>
  <c r="N145" i="13" s="1"/>
  <c r="N146" i="13" a="1"/>
  <c r="N146" i="13"/>
  <c r="N147" i="13" a="1"/>
  <c r="N147" i="13" s="1"/>
  <c r="N48" i="13" a="1"/>
  <c r="N48" i="13" s="1"/>
  <c r="I293" i="13" a="1"/>
  <c r="I293" i="13" s="1"/>
  <c r="I294" i="13" a="1"/>
  <c r="I294" i="13" s="1"/>
  <c r="I295" i="13" a="1"/>
  <c r="I295" i="13" s="1"/>
  <c r="I296" i="13" a="1"/>
  <c r="I296" i="13" s="1"/>
  <c r="I297" i="13" a="1"/>
  <c r="I297" i="13" s="1"/>
  <c r="BS22" i="28" s="1"/>
  <c r="I298" i="13" a="1"/>
  <c r="I298" i="13" s="1"/>
  <c r="BS23" i="28" s="1"/>
  <c r="I299" i="13" a="1"/>
  <c r="I299" i="13" s="1"/>
  <c r="I300" i="13" a="1"/>
  <c r="I300" i="13" s="1"/>
  <c r="I301" i="13" a="1"/>
  <c r="I301" i="13" s="1"/>
  <c r="I302" i="13" a="1"/>
  <c r="I302" i="13" s="1"/>
  <c r="I303" i="13" a="1"/>
  <c r="I303" i="13" s="1"/>
  <c r="I304" i="13" a="1"/>
  <c r="I304" i="13" s="1"/>
  <c r="I305" i="13" a="1"/>
  <c r="I305" i="13" s="1"/>
  <c r="I306" i="13" a="1"/>
  <c r="I306" i="13" s="1"/>
  <c r="I307" i="13" a="1"/>
  <c r="I307" i="13" s="1"/>
  <c r="I308" i="13" a="1"/>
  <c r="I308" i="13" s="1"/>
  <c r="I309" i="13" a="1"/>
  <c r="I309" i="13" s="1"/>
  <c r="I310" i="13" a="1"/>
  <c r="I310" i="13" s="1"/>
  <c r="I311" i="13" a="1"/>
  <c r="I311" i="13" s="1"/>
  <c r="I312" i="13" a="1"/>
  <c r="I312" i="13" s="1"/>
  <c r="I313" i="13" a="1"/>
  <c r="I313" i="13"/>
  <c r="I314" i="13" a="1"/>
  <c r="I314" i="13" s="1"/>
  <c r="I315" i="13" a="1"/>
  <c r="I315" i="13" s="1"/>
  <c r="I316" i="13" a="1"/>
  <c r="I316" i="13" s="1"/>
  <c r="I317" i="13" a="1"/>
  <c r="I317" i="13" s="1"/>
  <c r="I318" i="13" a="1"/>
  <c r="I318" i="13" s="1"/>
  <c r="I319" i="13" a="1"/>
  <c r="I319" i="13" s="1"/>
  <c r="I320" i="13" a="1"/>
  <c r="I320" i="13" s="1"/>
  <c r="I321" i="13" a="1"/>
  <c r="I321" i="13" s="1"/>
  <c r="I322" i="13" a="1"/>
  <c r="I322" i="13" s="1"/>
  <c r="I323" i="13" a="1"/>
  <c r="I323" i="13" s="1"/>
  <c r="I324" i="13" a="1"/>
  <c r="I324" i="13" s="1"/>
  <c r="I325" i="13" a="1"/>
  <c r="I325" i="13" s="1"/>
  <c r="I326" i="13" a="1"/>
  <c r="I326" i="13" s="1"/>
  <c r="I327" i="13" a="1"/>
  <c r="I327" i="13" s="1"/>
  <c r="I328" i="13" a="1"/>
  <c r="I328" i="13" s="1"/>
  <c r="I329" i="13" a="1"/>
  <c r="I329" i="13" s="1"/>
  <c r="I330" i="13" a="1"/>
  <c r="I330" i="13" s="1"/>
  <c r="I331" i="13" a="1"/>
  <c r="I331" i="13" s="1"/>
  <c r="I332" i="13" a="1"/>
  <c r="I332" i="13" s="1"/>
  <c r="I333" i="13" a="1"/>
  <c r="I333" i="13" s="1"/>
  <c r="I334" i="13" a="1"/>
  <c r="I334" i="13" s="1"/>
  <c r="I335" i="13" a="1"/>
  <c r="I335" i="13" s="1"/>
  <c r="I336" i="13" a="1"/>
  <c r="I336" i="13" s="1"/>
  <c r="I337" i="13" a="1"/>
  <c r="I337" i="13" s="1"/>
  <c r="I338" i="13" a="1"/>
  <c r="I338" i="13" s="1"/>
  <c r="I339" i="13" a="1"/>
  <c r="I339" i="13" s="1"/>
  <c r="I340" i="13" a="1"/>
  <c r="I340" i="13" s="1"/>
  <c r="I341" i="13" a="1"/>
  <c r="I341" i="13" s="1"/>
  <c r="I342" i="13" a="1"/>
  <c r="I342" i="13" s="1"/>
  <c r="I343" i="13" a="1"/>
  <c r="I343" i="13" s="1"/>
  <c r="I344" i="13" a="1"/>
  <c r="I344" i="13" s="1"/>
  <c r="I345" i="13" a="1"/>
  <c r="I345" i="13" s="1"/>
  <c r="I346" i="13" a="1"/>
  <c r="I346" i="13" s="1"/>
  <c r="I347" i="13" a="1"/>
  <c r="I347" i="13" s="1"/>
  <c r="I348" i="13" a="1"/>
  <c r="I348" i="13" s="1"/>
  <c r="I349" i="13" a="1"/>
  <c r="I349" i="13" s="1"/>
  <c r="I350" i="13" a="1"/>
  <c r="I350" i="13" s="1"/>
  <c r="I351" i="13" a="1"/>
  <c r="I351" i="13" s="1"/>
  <c r="I352" i="13" a="1"/>
  <c r="I352" i="13" s="1"/>
  <c r="I353" i="13" a="1"/>
  <c r="I353" i="13" s="1"/>
  <c r="I354" i="13" a="1"/>
  <c r="I354" i="13" s="1"/>
  <c r="I355" i="13" a="1"/>
  <c r="I355" i="13" s="1"/>
  <c r="I356" i="13" a="1"/>
  <c r="I356" i="13" s="1"/>
  <c r="I357" i="13" a="1"/>
  <c r="I357" i="13" s="1"/>
  <c r="I358" i="13" a="1"/>
  <c r="I358" i="13" s="1"/>
  <c r="I359" i="13" a="1"/>
  <c r="I359" i="13" s="1"/>
  <c r="I360" i="13" a="1"/>
  <c r="I360" i="13" s="1"/>
  <c r="I361" i="13" a="1"/>
  <c r="I361" i="13" s="1"/>
  <c r="I362" i="13" a="1"/>
  <c r="I362" i="13" s="1"/>
  <c r="I363" i="13" a="1"/>
  <c r="I363" i="13" s="1"/>
  <c r="I364" i="13" a="1"/>
  <c r="I364" i="13" s="1"/>
  <c r="I365" i="13" a="1"/>
  <c r="I365" i="13" s="1"/>
  <c r="I366" i="13" a="1"/>
  <c r="I366" i="13" s="1"/>
  <c r="I367" i="13" a="1"/>
  <c r="I367" i="13" s="1"/>
  <c r="I368" i="13" a="1"/>
  <c r="I368" i="13" s="1"/>
  <c r="I369" i="13" a="1"/>
  <c r="I369" i="13" s="1"/>
  <c r="I370" i="13" a="1"/>
  <c r="I370" i="13" s="1"/>
  <c r="I371" i="13" a="1"/>
  <c r="I371" i="13" s="1"/>
  <c r="I372" i="13" a="1"/>
  <c r="I372" i="13" s="1"/>
  <c r="I373" i="13" a="1"/>
  <c r="I373" i="13" s="1"/>
  <c r="I374" i="13" a="1"/>
  <c r="I374" i="13" s="1"/>
  <c r="I375" i="13" a="1"/>
  <c r="I375" i="13" s="1"/>
  <c r="I376" i="13" a="1"/>
  <c r="I376" i="13" s="1"/>
  <c r="I377" i="13" a="1"/>
  <c r="I377" i="13" s="1"/>
  <c r="I378" i="13" a="1"/>
  <c r="I378" i="13" s="1"/>
  <c r="I379" i="13" a="1"/>
  <c r="I379" i="13" s="1"/>
  <c r="I380" i="13" a="1"/>
  <c r="I380" i="13" s="1"/>
  <c r="I381" i="13" a="1"/>
  <c r="I381" i="13" s="1"/>
  <c r="I382" i="13" a="1"/>
  <c r="I382" i="13" s="1"/>
  <c r="I383" i="13" a="1"/>
  <c r="I383" i="13" s="1"/>
  <c r="I384" i="13" a="1"/>
  <c r="I384" i="13" s="1"/>
  <c r="I385" i="13" a="1"/>
  <c r="I385" i="13" s="1"/>
  <c r="I386" i="13" a="1"/>
  <c r="I386" i="13" s="1"/>
  <c r="I387" i="13" a="1"/>
  <c r="I387" i="13" s="1"/>
  <c r="I388" i="13" a="1"/>
  <c r="I388" i="13" s="1"/>
  <c r="I389" i="13" a="1"/>
  <c r="I389" i="13" s="1"/>
  <c r="I390" i="13" a="1"/>
  <c r="I390" i="13" s="1"/>
  <c r="I291" i="13" a="1"/>
  <c r="I291" i="13" s="1"/>
  <c r="I292" i="13" a="1"/>
  <c r="I292" i="13" s="1"/>
  <c r="K293" i="13" a="1"/>
  <c r="K293" i="13"/>
  <c r="K294" i="13" a="1"/>
  <c r="K294" i="13"/>
  <c r="K295" i="13" a="1"/>
  <c r="K295" i="13"/>
  <c r="K296" i="13" a="1"/>
  <c r="K296" i="13"/>
  <c r="K297" i="13" a="1"/>
  <c r="K297" i="13"/>
  <c r="K298" i="13" a="1"/>
  <c r="K298" i="13"/>
  <c r="K299" i="13" a="1"/>
  <c r="K299" i="13"/>
  <c r="K300" i="13" a="1"/>
  <c r="K300" i="13"/>
  <c r="K301" i="13" a="1"/>
  <c r="K301" i="13"/>
  <c r="K302" i="13" a="1"/>
  <c r="K302" i="13"/>
  <c r="K303" i="13" a="1"/>
  <c r="K303" i="13"/>
  <c r="K304" i="13" a="1"/>
  <c r="K304" i="13"/>
  <c r="K305" i="13" a="1"/>
  <c r="K305" i="13"/>
  <c r="K306" i="13" a="1"/>
  <c r="K306" i="13"/>
  <c r="K307" i="13" a="1"/>
  <c r="K307" i="13"/>
  <c r="K308" i="13" a="1"/>
  <c r="K308" i="13"/>
  <c r="K309" i="13" a="1"/>
  <c r="K309" i="13"/>
  <c r="K310" i="13" a="1"/>
  <c r="K310" i="13"/>
  <c r="K311" i="13" a="1"/>
  <c r="K311" i="13"/>
  <c r="K312" i="13" a="1"/>
  <c r="K312" i="13"/>
  <c r="K313" i="13" a="1"/>
  <c r="K313" i="13"/>
  <c r="K314" i="13" a="1"/>
  <c r="K314" i="13"/>
  <c r="K315" i="13" a="1"/>
  <c r="K315" i="13"/>
  <c r="K316" i="13" a="1"/>
  <c r="K316" i="13"/>
  <c r="K317" i="13" a="1"/>
  <c r="K317" i="13" s="1"/>
  <c r="K318" i="13" a="1"/>
  <c r="K318" i="13"/>
  <c r="K319" i="13" a="1"/>
  <c r="K319" i="13" s="1"/>
  <c r="K320" i="13" a="1"/>
  <c r="K320" i="13" s="1"/>
  <c r="K321" i="13" a="1"/>
  <c r="K321" i="13"/>
  <c r="K322" i="13" a="1"/>
  <c r="K322" i="13"/>
  <c r="K323" i="13" a="1"/>
  <c r="K323" i="13"/>
  <c r="K324" i="13" a="1"/>
  <c r="K324" i="13" s="1"/>
  <c r="K325" i="13" a="1"/>
  <c r="K325" i="13"/>
  <c r="K326" i="13" a="1"/>
  <c r="K326" i="13" s="1"/>
  <c r="K327" i="13" a="1"/>
  <c r="K327" i="13" s="1"/>
  <c r="K328" i="13" a="1"/>
  <c r="K328" i="13"/>
  <c r="K329" i="13" a="1"/>
  <c r="K329" i="13"/>
  <c r="K330" i="13" a="1"/>
  <c r="K330" i="13"/>
  <c r="K331" i="13" a="1"/>
  <c r="K331" i="13" s="1"/>
  <c r="K332" i="13" a="1"/>
  <c r="K332" i="13"/>
  <c r="K333" i="13" a="1"/>
  <c r="K333" i="13" s="1"/>
  <c r="K334" i="13" a="1"/>
  <c r="K334" i="13" s="1"/>
  <c r="K335" i="13" a="1"/>
  <c r="K335" i="13"/>
  <c r="K336" i="13" a="1"/>
  <c r="K336" i="13"/>
  <c r="K337" i="13" a="1"/>
  <c r="K337" i="13"/>
  <c r="K338" i="13" a="1"/>
  <c r="K338" i="13" s="1"/>
  <c r="K339" i="13" a="1"/>
  <c r="K339" i="13"/>
  <c r="K340" i="13" a="1"/>
  <c r="K340" i="13" s="1"/>
  <c r="K341" i="13" a="1"/>
  <c r="K341" i="13" s="1"/>
  <c r="K342" i="13" a="1"/>
  <c r="K342" i="13"/>
  <c r="K343" i="13" a="1"/>
  <c r="K343" i="13"/>
  <c r="K344" i="13" a="1"/>
  <c r="K344" i="13"/>
  <c r="K345" i="13" a="1"/>
  <c r="K345" i="13" s="1"/>
  <c r="K346" i="13" a="1"/>
  <c r="K346" i="13"/>
  <c r="K347" i="13" a="1"/>
  <c r="K347" i="13"/>
  <c r="K348" i="13" a="1"/>
  <c r="K348" i="13" s="1"/>
  <c r="K349" i="13" a="1"/>
  <c r="K349" i="13"/>
  <c r="K350" i="13" a="1"/>
  <c r="K350" i="13"/>
  <c r="K351" i="13" a="1"/>
  <c r="K351" i="13"/>
  <c r="K352" i="13" a="1"/>
  <c r="K352" i="13"/>
  <c r="K353" i="13" a="1"/>
  <c r="K353" i="13"/>
  <c r="K354" i="13" a="1"/>
  <c r="K354" i="13"/>
  <c r="K355" i="13" a="1"/>
  <c r="K355" i="13" s="1"/>
  <c r="K356" i="13" a="1"/>
  <c r="K356" i="13"/>
  <c r="K357" i="13" a="1"/>
  <c r="K357" i="13"/>
  <c r="K358" i="13" a="1"/>
  <c r="K358" i="13"/>
  <c r="K359" i="13" a="1"/>
  <c r="K359" i="13"/>
  <c r="K360" i="13" a="1"/>
  <c r="K360" i="13"/>
  <c r="K361" i="13" a="1"/>
  <c r="K361" i="13"/>
  <c r="K362" i="13" a="1"/>
  <c r="K362" i="13" s="1"/>
  <c r="K363" i="13" a="1"/>
  <c r="K363" i="13"/>
  <c r="K364" i="13" a="1"/>
  <c r="K364" i="13"/>
  <c r="K365" i="13" a="1"/>
  <c r="K365" i="13"/>
  <c r="K366" i="13" a="1"/>
  <c r="K366" i="13"/>
  <c r="K367" i="13" a="1"/>
  <c r="K367" i="13"/>
  <c r="K368" i="13" a="1"/>
  <c r="K368" i="13"/>
  <c r="K369" i="13" a="1"/>
  <c r="K369" i="13" s="1"/>
  <c r="K370" i="13" a="1"/>
  <c r="K370" i="13"/>
  <c r="K371" i="13" a="1"/>
  <c r="K371" i="13"/>
  <c r="K372" i="13" a="1"/>
  <c r="K372" i="13"/>
  <c r="K373" i="13" a="1"/>
  <c r="K373" i="13"/>
  <c r="K374" i="13" a="1"/>
  <c r="K374" i="13"/>
  <c r="K375" i="13" a="1"/>
  <c r="K375" i="13"/>
  <c r="K376" i="13" a="1"/>
  <c r="K376" i="13" s="1"/>
  <c r="K377" i="13" a="1"/>
  <c r="K377" i="13"/>
  <c r="K378" i="13" a="1"/>
  <c r="K378" i="13"/>
  <c r="K379" i="13" a="1"/>
  <c r="K379" i="13"/>
  <c r="K380" i="13" a="1"/>
  <c r="K380" i="13"/>
  <c r="K381" i="13" a="1"/>
  <c r="K381" i="13"/>
  <c r="K382" i="13" a="1"/>
  <c r="K382" i="13"/>
  <c r="K383" i="13" a="1"/>
  <c r="K383" i="13" s="1"/>
  <c r="K384" i="13" a="1"/>
  <c r="K384" i="13"/>
  <c r="K385" i="13" a="1"/>
  <c r="K385" i="13"/>
  <c r="K386" i="13" a="1"/>
  <c r="K386" i="13"/>
  <c r="K387" i="13" a="1"/>
  <c r="K387" i="13"/>
  <c r="K388" i="13" a="1"/>
  <c r="K388" i="13"/>
  <c r="K389" i="13" a="1"/>
  <c r="K389" i="13"/>
  <c r="K390" i="13" a="1"/>
  <c r="K390" i="13" s="1"/>
  <c r="K292" i="13" a="1"/>
  <c r="K292" i="13"/>
  <c r="K291" i="13" a="1"/>
  <c r="K291" i="13" s="1"/>
  <c r="O48" i="13" a="1"/>
  <c r="O48" i="13" s="1"/>
  <c r="H48" i="13"/>
  <c r="H49" i="13"/>
  <c r="H50" i="13"/>
  <c r="H51" i="13"/>
  <c r="H52" i="13"/>
  <c r="H53" i="13"/>
  <c r="H54" i="13"/>
  <c r="G48" i="13"/>
  <c r="G49" i="13"/>
  <c r="G50" i="13"/>
  <c r="G51" i="13"/>
  <c r="G52" i="13"/>
  <c r="G53" i="13"/>
  <c r="G54" i="13"/>
  <c r="E48" i="13"/>
  <c r="E49" i="13"/>
  <c r="E50" i="13"/>
  <c r="E51" i="13"/>
  <c r="E52" i="13"/>
  <c r="E53" i="13"/>
  <c r="E54" i="13"/>
  <c r="Y43" i="13"/>
  <c r="C115" i="10" l="1"/>
  <c r="C110" i="10"/>
  <c r="C112" i="10"/>
  <c r="C113" i="10"/>
  <c r="I57" i="3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7" i="1"/>
  <c r="CU21" i="1"/>
  <c r="CU22" i="1"/>
  <c r="CU34" i="1"/>
  <c r="CU49" i="1"/>
  <c r="CU62" i="1"/>
  <c r="CU63" i="1"/>
  <c r="CU70" i="1"/>
  <c r="CU77" i="1"/>
  <c r="CU98" i="1"/>
  <c r="CU105" i="1"/>
  <c r="CU118" i="1"/>
  <c r="CU119" i="1"/>
  <c r="CU133" i="1"/>
  <c r="CU146" i="1"/>
  <c r="CU154" i="1"/>
  <c r="CU161" i="1"/>
  <c r="CU174" i="1"/>
  <c r="CU175" i="1"/>
  <c r="CU189" i="1"/>
  <c r="CU210" i="1"/>
  <c r="CU217" i="1"/>
  <c r="CU328" i="1"/>
  <c r="CU412" i="1"/>
  <c r="CU526"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512" i="1" l="1"/>
  <c r="CU91" i="1"/>
  <c r="CU147" i="1"/>
  <c r="CU456" i="1"/>
  <c r="CU203" i="1"/>
  <c r="CU442" i="1"/>
  <c r="CU132" i="1"/>
  <c r="CU316" i="1"/>
  <c r="CU651" i="1"/>
  <c r="CU314" i="1"/>
  <c r="CU104" i="1"/>
  <c r="CU35" i="1"/>
  <c r="CU330" i="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F170" i="13" l="1"/>
  <c r="N16" i="28" s="1"/>
  <c r="I170" i="13"/>
  <c r="O16" i="28" s="1"/>
  <c r="M171" i="13"/>
  <c r="R17"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C14" i="10" s="1"/>
  <c r="E19" i="13"/>
  <c r="C13" i="10" s="1"/>
  <c r="E18" i="13"/>
  <c r="C12" i="10" s="1"/>
  <c r="F166" i="13" l="1"/>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8" i="28" s="1"/>
  <c r="AJ210" i="13"/>
  <c r="BB229" i="13"/>
  <c r="AU241" i="13"/>
  <c r="BC249" i="13"/>
  <c r="AH259" i="13"/>
  <c r="BE267" i="13"/>
  <c r="Y186" i="13"/>
  <c r="AA32" i="28" s="1"/>
  <c r="AB231" i="13"/>
  <c r="AB170" i="13"/>
  <c r="AD16" i="28" s="1"/>
  <c r="U241" i="13"/>
  <c r="S215" i="13"/>
  <c r="R207" i="13"/>
  <c r="Q179" i="13"/>
  <c r="Q257" i="13"/>
  <c r="P242" i="13"/>
  <c r="O224" i="13"/>
  <c r="N209" i="13"/>
  <c r="M181" i="13"/>
  <c r="R27"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5" i="28" s="1"/>
  <c r="BF234" i="13"/>
  <c r="AY245" i="13"/>
  <c r="BM262" i="13"/>
  <c r="AA255" i="13"/>
  <c r="T264" i="13"/>
  <c r="Q221" i="13"/>
  <c r="M225" i="13"/>
  <c r="F181" i="13"/>
  <c r="N27" i="28" s="1"/>
  <c r="AL190" i="13"/>
  <c r="AU219" i="13"/>
  <c r="BL234" i="13"/>
  <c r="BF245" i="13"/>
  <c r="BN254" i="13"/>
  <c r="AT264" i="13"/>
  <c r="AU170" i="13"/>
  <c r="AS16" i="28" s="1"/>
  <c r="AB213" i="13"/>
  <c r="AB255" i="13"/>
  <c r="T212" i="13"/>
  <c r="T268" i="13"/>
  <c r="S253" i="13"/>
  <c r="R241" i="13"/>
  <c r="Q222" i="13"/>
  <c r="P208" i="13"/>
  <c r="O180" i="13"/>
  <c r="O259" i="13"/>
  <c r="N244" i="13"/>
  <c r="M226" i="13"/>
  <c r="L211" i="13"/>
  <c r="K182" i="13"/>
  <c r="P28" i="28" s="1"/>
  <c r="K254" i="13"/>
  <c r="I226" i="13"/>
  <c r="F182" i="13"/>
  <c r="N28" i="28" s="1"/>
  <c r="F247" i="13"/>
  <c r="BA211" i="13"/>
  <c r="AU231" i="13"/>
  <c r="BO242" i="13"/>
  <c r="BN251" i="13"/>
  <c r="AP261" i="13"/>
  <c r="AR268" i="13"/>
  <c r="Y194" i="13"/>
  <c r="AA244" i="13"/>
  <c r="T188" i="13"/>
  <c r="T248" i="13"/>
  <c r="S221" i="13"/>
  <c r="R212" i="13"/>
  <c r="Q194" i="13"/>
  <c r="P179" i="13"/>
  <c r="P251" i="13"/>
  <c r="O231" i="13"/>
  <c r="N216" i="13"/>
  <c r="M197" i="13"/>
  <c r="L183" i="13"/>
  <c r="Q29" i="28" s="1"/>
  <c r="L255" i="13"/>
  <c r="K228" i="13"/>
  <c r="I201" i="13"/>
  <c r="I259" i="13"/>
  <c r="F228" i="13"/>
  <c r="AM219" i="13"/>
  <c r="AS253" i="13"/>
  <c r="BD262" i="13"/>
  <c r="AJ170" i="13"/>
  <c r="AH16" i="28" s="1"/>
  <c r="AA207" i="13"/>
  <c r="AA249" i="13"/>
  <c r="T194" i="13"/>
  <c r="U263" i="13"/>
  <c r="S247" i="13"/>
  <c r="Q207" i="13"/>
  <c r="P187" i="13"/>
  <c r="O172" i="13"/>
  <c r="N239" i="13"/>
  <c r="K174" i="13"/>
  <c r="P20"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4"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30" i="28" s="1"/>
  <c r="L269" i="13"/>
  <c r="K234" i="13"/>
  <c r="I205" i="13"/>
  <c r="I265" i="13"/>
  <c r="F229" i="13"/>
  <c r="L170" i="13"/>
  <c r="Q16" i="28" s="1"/>
  <c r="K247" i="13"/>
  <c r="I206" i="13"/>
  <c r="F175" i="13"/>
  <c r="N21" i="28" s="1"/>
  <c r="F233" i="13"/>
  <c r="AR245" i="13"/>
  <c r="R235" i="13"/>
  <c r="O253" i="13"/>
  <c r="M211" i="13"/>
  <c r="K248" i="13"/>
  <c r="F176" i="13"/>
  <c r="N22" i="28" s="1"/>
  <c r="BB178" i="13"/>
  <c r="AZ24" i="28" s="1"/>
  <c r="BM254" i="13"/>
  <c r="AP170" i="13"/>
  <c r="AN16" i="28" s="1"/>
  <c r="T200" i="13"/>
  <c r="R236" i="13"/>
  <c r="O173" i="13"/>
  <c r="N240" i="13"/>
  <c r="K175" i="13"/>
  <c r="P21" i="28" s="1"/>
  <c r="K253" i="13"/>
  <c r="F241" i="13"/>
  <c r="AI171" i="13"/>
  <c r="AG17" i="28" s="1"/>
  <c r="BO215" i="13"/>
  <c r="AT233" i="13"/>
  <c r="AP243" i="13"/>
  <c r="BA252" i="13"/>
  <c r="BO261" i="13"/>
  <c r="AU269" i="13"/>
  <c r="AA198" i="13"/>
  <c r="AA246" i="13"/>
  <c r="U193" i="13"/>
  <c r="U260" i="13"/>
  <c r="S245" i="13"/>
  <c r="R221" i="13"/>
  <c r="Q200" i="13"/>
  <c r="P185" i="13"/>
  <c r="P266" i="13"/>
  <c r="O252" i="13"/>
  <c r="N224" i="13"/>
  <c r="M203" i="13"/>
  <c r="L188" i="13"/>
  <c r="Q34" i="28" s="1"/>
  <c r="AN171" i="13"/>
  <c r="AL17" i="28" s="1"/>
  <c r="AO206" i="13"/>
  <c r="BO226" i="13"/>
  <c r="BE239" i="13"/>
  <c r="AW249" i="13"/>
  <c r="BN257" i="13"/>
  <c r="BK206" i="13"/>
  <c r="BA229" i="13"/>
  <c r="BK239" i="13"/>
  <c r="BB249" i="13"/>
  <c r="BO258" i="13"/>
  <c r="AV267" i="13"/>
  <c r="AB177" i="13"/>
  <c r="AD23" i="28" s="1"/>
  <c r="AA231" i="13"/>
  <c r="AA170" i="13"/>
  <c r="AC16" i="28" s="1"/>
  <c r="T238" i="13"/>
  <c r="S213" i="13"/>
  <c r="R192" i="13"/>
  <c r="Q171" i="13"/>
  <c r="Q256" i="13"/>
  <c r="P238" i="13"/>
  <c r="O223" i="13"/>
  <c r="N195" i="13"/>
  <c r="M175" i="13"/>
  <c r="R21" i="28" s="1"/>
  <c r="M260" i="13"/>
  <c r="L241" i="13"/>
  <c r="K221" i="13"/>
  <c r="I187" i="13"/>
  <c r="O33" i="28" s="1"/>
  <c r="L240" i="13"/>
  <c r="N182" i="13"/>
  <c r="L225" i="13"/>
  <c r="N181" i="13"/>
  <c r="R185" i="13"/>
  <c r="AA224" i="13"/>
  <c r="I239" i="13"/>
  <c r="L217" i="13"/>
  <c r="O201" i="13"/>
  <c r="R178" i="13"/>
  <c r="Y177" i="13"/>
  <c r="AA23" i="28" s="1"/>
  <c r="AG225" i="13"/>
  <c r="I232" i="13"/>
  <c r="M254" i="13"/>
  <c r="O200" i="13"/>
  <c r="S197" i="13"/>
  <c r="AS198" i="13"/>
  <c r="I231" i="13"/>
  <c r="M253" i="13"/>
  <c r="O196" i="13"/>
  <c r="S189" i="13"/>
  <c r="AN198" i="13"/>
  <c r="F195" i="13"/>
  <c r="AS239" i="13"/>
  <c r="AO238" i="13"/>
  <c r="I245" i="13"/>
  <c r="O209" i="13"/>
  <c r="BB226" i="13"/>
  <c r="F267" i="13"/>
  <c r="I180" i="13"/>
  <c r="O26" i="28" s="1"/>
  <c r="M239" i="13"/>
  <c r="P237" i="13"/>
  <c r="S188" i="13"/>
  <c r="I252" i="13"/>
  <c r="Y225" i="13"/>
  <c r="L219" i="13"/>
  <c r="R184" i="13"/>
  <c r="AA177" i="13"/>
  <c r="AC23" i="28" s="1"/>
  <c r="F260" i="13"/>
  <c r="I179" i="13"/>
  <c r="O25" i="28" s="1"/>
  <c r="M232" i="13"/>
  <c r="P223" i="13"/>
  <c r="T236" i="13"/>
  <c r="BH266" i="13"/>
  <c r="F259" i="13"/>
  <c r="I175" i="13"/>
  <c r="O21" i="28" s="1"/>
  <c r="M173" i="13"/>
  <c r="R19" i="28" s="1"/>
  <c r="P215" i="13"/>
  <c r="T224" i="13"/>
  <c r="BC265" i="13"/>
  <c r="R264" i="13"/>
  <c r="F255" i="13"/>
  <c r="I173" i="13"/>
  <c r="O19" i="28" s="1"/>
  <c r="N268" i="13"/>
  <c r="Q252" i="13"/>
  <c r="T218" i="13"/>
  <c r="BA265" i="13"/>
  <c r="F258" i="13"/>
  <c r="F232" i="13"/>
  <c r="F206" i="13"/>
  <c r="F180" i="13"/>
  <c r="N26" i="28" s="1"/>
  <c r="I256" i="13"/>
  <c r="I230" i="13"/>
  <c r="I204" i="13"/>
  <c r="I178" i="13"/>
  <c r="O24" i="28" s="1"/>
  <c r="K252" i="13"/>
  <c r="K225" i="13"/>
  <c r="K199" i="13"/>
  <c r="K173" i="13"/>
  <c r="P19" i="28" s="1"/>
  <c r="L245" i="13"/>
  <c r="L216" i="13"/>
  <c r="L187" i="13"/>
  <c r="Q33" i="28" s="1"/>
  <c r="M259" i="13"/>
  <c r="M229" i="13"/>
  <c r="M201" i="13"/>
  <c r="M172" i="13"/>
  <c r="R18"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20" i="28" s="1"/>
  <c r="AZ269" i="13"/>
  <c r="BD267" i="13"/>
  <c r="AN265" i="13"/>
  <c r="BI261" i="13"/>
  <c r="BL258" i="13"/>
  <c r="AK255" i="13"/>
  <c r="AT252" i="13"/>
  <c r="AQ249" i="13"/>
  <c r="BE245" i="13"/>
  <c r="BN242" i="13"/>
  <c r="AY238" i="13"/>
  <c r="BE234" i="13"/>
  <c r="BH230" i="13"/>
  <c r="BO224" i="13"/>
  <c r="BL218" i="13"/>
  <c r="AM207" i="13"/>
  <c r="BM192" i="13"/>
  <c r="AH171" i="13"/>
  <c r="AF17" i="28" s="1"/>
  <c r="F257" i="13"/>
  <c r="F231" i="13"/>
  <c r="F205" i="13"/>
  <c r="F178" i="13"/>
  <c r="N24" i="28" s="1"/>
  <c r="I255" i="13"/>
  <c r="I229" i="13"/>
  <c r="I203" i="13"/>
  <c r="I177" i="13"/>
  <c r="O23" i="28" s="1"/>
  <c r="K251" i="13"/>
  <c r="K224" i="13"/>
  <c r="K198" i="13"/>
  <c r="K172" i="13"/>
  <c r="P18" i="28" s="1"/>
  <c r="L244" i="13"/>
  <c r="L214" i="13"/>
  <c r="L186" i="13"/>
  <c r="Q32"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7" i="28" s="1"/>
  <c r="K267" i="13"/>
  <c r="K241" i="13"/>
  <c r="K215" i="13"/>
  <c r="K188" i="13"/>
  <c r="P34" i="28" s="1"/>
  <c r="L233" i="13"/>
  <c r="L204" i="13"/>
  <c r="L175" i="13"/>
  <c r="Q21" i="28" s="1"/>
  <c r="M217" i="13"/>
  <c r="N231" i="13"/>
  <c r="S237" i="13"/>
  <c r="F246" i="13"/>
  <c r="F220" i="13"/>
  <c r="F194" i="13"/>
  <c r="I244" i="13"/>
  <c r="I218" i="13"/>
  <c r="I192" i="13"/>
  <c r="K266" i="13"/>
  <c r="K240" i="13"/>
  <c r="K213" i="13"/>
  <c r="K187" i="13"/>
  <c r="P33" i="28" s="1"/>
  <c r="L260" i="13"/>
  <c r="L232" i="13"/>
  <c r="L202" i="13"/>
  <c r="L174" i="13"/>
  <c r="Q20" i="28" s="1"/>
  <c r="M245" i="13"/>
  <c r="M216" i="13"/>
  <c r="M188" i="13"/>
  <c r="R34"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1" i="28" s="1"/>
  <c r="BF268" i="13"/>
  <c r="BF266" i="13"/>
  <c r="AH264" i="13"/>
  <c r="AV260" i="13"/>
  <c r="AW257" i="13"/>
  <c r="BN253" i="13"/>
  <c r="AG251" i="13"/>
  <c r="BM247" i="13"/>
  <c r="AU244" i="13"/>
  <c r="AQ241" i="13"/>
  <c r="BH236" i="13"/>
  <c r="BI232" i="13"/>
  <c r="AK229" i="13"/>
  <c r="AR222" i="13"/>
  <c r="BL214" i="13"/>
  <c r="AO202" i="13"/>
  <c r="AG184" i="13"/>
  <c r="AE30" i="28" s="1"/>
  <c r="L261" i="13"/>
  <c r="M247" i="13"/>
  <c r="M189" i="13"/>
  <c r="R35"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1" i="28" s="1"/>
  <c r="AM269" i="13"/>
  <c r="BG266" i="13"/>
  <c r="AR264" i="13"/>
  <c r="BA260" i="13"/>
  <c r="BJ257" i="13"/>
  <c r="BF254" i="13"/>
  <c r="AJ251" i="13"/>
  <c r="AI248" i="13"/>
  <c r="BC244" i="13"/>
  <c r="AT241" i="13"/>
  <c r="BB237" i="13"/>
  <c r="AR233" i="13"/>
  <c r="AO229" i="13"/>
  <c r="AW222" i="13"/>
  <c r="AQ215" i="13"/>
  <c r="AS205" i="13"/>
  <c r="AJ185" i="13"/>
  <c r="AH31" i="28" s="1"/>
  <c r="F245" i="13"/>
  <c r="F219" i="13"/>
  <c r="F193" i="13"/>
  <c r="I269" i="13"/>
  <c r="I243" i="13"/>
  <c r="I217" i="13"/>
  <c r="I191" i="13"/>
  <c r="K265" i="13"/>
  <c r="K239" i="13"/>
  <c r="K212" i="13"/>
  <c r="K186" i="13"/>
  <c r="P32" i="28" s="1"/>
  <c r="L259" i="13"/>
  <c r="L231" i="13"/>
  <c r="L201" i="13"/>
  <c r="L173" i="13"/>
  <c r="Q19" i="28" s="1"/>
  <c r="M244" i="13"/>
  <c r="M215" i="13"/>
  <c r="M187" i="13"/>
  <c r="R33"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1" i="28" s="1"/>
  <c r="BN170" i="13"/>
  <c r="BL16" i="28" s="1"/>
  <c r="BD268" i="13"/>
  <c r="AU266" i="13"/>
  <c r="AS263" i="13"/>
  <c r="AU260" i="13"/>
  <c r="AU257" i="13"/>
  <c r="BM253" i="13"/>
  <c r="BJ250" i="13"/>
  <c r="AK247" i="13"/>
  <c r="AL244" i="13"/>
  <c r="AO241" i="13"/>
  <c r="BG236" i="13"/>
  <c r="BH232" i="13"/>
  <c r="BH227" i="13"/>
  <c r="AM222" i="13"/>
  <c r="AY214" i="13"/>
  <c r="AM200" i="13"/>
  <c r="AJ171" i="13"/>
  <c r="AH17" i="28" s="1"/>
  <c r="AV171" i="13"/>
  <c r="AT17" i="28" s="1"/>
  <c r="BH171" i="13"/>
  <c r="BF17" i="28" s="1"/>
  <c r="AK172" i="13"/>
  <c r="AI18" i="28" s="1"/>
  <c r="AW172" i="13"/>
  <c r="AU18" i="28" s="1"/>
  <c r="BI172" i="13"/>
  <c r="BG18" i="28" s="1"/>
  <c r="AL173" i="13"/>
  <c r="AJ19" i="28" s="1"/>
  <c r="AX173" i="13"/>
  <c r="AV19" i="28" s="1"/>
  <c r="BJ173" i="13"/>
  <c r="BH19" i="28" s="1"/>
  <c r="AM174" i="13"/>
  <c r="AK20" i="28" s="1"/>
  <c r="AY174" i="13"/>
  <c r="AW20" i="28" s="1"/>
  <c r="BK174" i="13"/>
  <c r="BI20" i="28" s="1"/>
  <c r="AN175" i="13"/>
  <c r="AL21" i="28" s="1"/>
  <c r="AZ175" i="13"/>
  <c r="AX21" i="28" s="1"/>
  <c r="BL175" i="13"/>
  <c r="BJ21" i="28" s="1"/>
  <c r="AO176" i="13"/>
  <c r="AM22" i="28" s="1"/>
  <c r="BA176" i="13"/>
  <c r="AY22" i="28" s="1"/>
  <c r="BM176" i="13"/>
  <c r="BK22" i="28" s="1"/>
  <c r="AP177" i="13"/>
  <c r="AN23" i="28" s="1"/>
  <c r="BB177" i="13"/>
  <c r="AZ23" i="28" s="1"/>
  <c r="BN177" i="13"/>
  <c r="BL23" i="28" s="1"/>
  <c r="AQ178" i="13"/>
  <c r="AO24" i="28" s="1"/>
  <c r="BC178" i="13"/>
  <c r="BA24" i="28" s="1"/>
  <c r="BO178" i="13"/>
  <c r="BM24" i="28" s="1"/>
  <c r="AR179" i="13"/>
  <c r="AP25" i="28" s="1"/>
  <c r="BD179" i="13"/>
  <c r="BB25" i="28" s="1"/>
  <c r="AG180" i="13"/>
  <c r="AE26" i="28" s="1"/>
  <c r="AS180" i="13"/>
  <c r="AQ26" i="28" s="1"/>
  <c r="BE180" i="13"/>
  <c r="BC26" i="28" s="1"/>
  <c r="AH181" i="13"/>
  <c r="AF27" i="28" s="1"/>
  <c r="AT181" i="13"/>
  <c r="AR27" i="28" s="1"/>
  <c r="BF181" i="13"/>
  <c r="BD27" i="28" s="1"/>
  <c r="AI182" i="13"/>
  <c r="AG28" i="28" s="1"/>
  <c r="AU182" i="13"/>
  <c r="AS28" i="28" s="1"/>
  <c r="BG182" i="13"/>
  <c r="BE28" i="28" s="1"/>
  <c r="AJ183" i="13"/>
  <c r="AH29" i="28" s="1"/>
  <c r="AV183" i="13"/>
  <c r="AT29" i="28" s="1"/>
  <c r="BH183" i="13"/>
  <c r="BF29" i="28" s="1"/>
  <c r="AK184" i="13"/>
  <c r="AI30" i="28" s="1"/>
  <c r="AW184" i="13"/>
  <c r="AU30" i="28" s="1"/>
  <c r="BI184" i="13"/>
  <c r="BG30" i="28" s="1"/>
  <c r="AL185" i="13"/>
  <c r="AJ31" i="28" s="1"/>
  <c r="AX185" i="13"/>
  <c r="AV31" i="28" s="1"/>
  <c r="BJ185" i="13"/>
  <c r="BH31" i="28" s="1"/>
  <c r="AM186" i="13"/>
  <c r="AK32" i="28" s="1"/>
  <c r="AY186" i="13"/>
  <c r="AW32" i="28" s="1"/>
  <c r="BK186" i="13"/>
  <c r="BI32" i="28" s="1"/>
  <c r="AN187" i="13"/>
  <c r="AL33" i="28" s="1"/>
  <c r="AZ187" i="13"/>
  <c r="AX33" i="28" s="1"/>
  <c r="BL187" i="13"/>
  <c r="BJ33" i="28" s="1"/>
  <c r="AO188" i="13"/>
  <c r="AM34" i="28" s="1"/>
  <c r="BA188" i="13"/>
  <c r="AY34" i="28" s="1"/>
  <c r="BM188" i="13"/>
  <c r="BK34" i="28" s="1"/>
  <c r="AP189" i="13"/>
  <c r="AN35" i="28" s="1"/>
  <c r="BB189" i="13"/>
  <c r="AZ35" i="28" s="1"/>
  <c r="BN189" i="13"/>
  <c r="BL35"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7" i="28" s="1"/>
  <c r="AW171" i="13"/>
  <c r="AU17" i="28" s="1"/>
  <c r="BI171" i="13"/>
  <c r="BG17" i="28" s="1"/>
  <c r="AL172" i="13"/>
  <c r="AJ18" i="28" s="1"/>
  <c r="AX172" i="13"/>
  <c r="AV18" i="28" s="1"/>
  <c r="BJ172" i="13"/>
  <c r="BH18" i="28" s="1"/>
  <c r="AM173" i="13"/>
  <c r="AK19" i="28" s="1"/>
  <c r="AY173" i="13"/>
  <c r="AW19" i="28" s="1"/>
  <c r="BK173" i="13"/>
  <c r="BI19" i="28" s="1"/>
  <c r="AN174" i="13"/>
  <c r="AL20" i="28" s="1"/>
  <c r="AZ174" i="13"/>
  <c r="AX20" i="28" s="1"/>
  <c r="BL174" i="13"/>
  <c r="BJ20" i="28" s="1"/>
  <c r="AO175" i="13"/>
  <c r="AM21" i="28" s="1"/>
  <c r="BA175" i="13"/>
  <c r="AY21" i="28" s="1"/>
  <c r="BM175" i="13"/>
  <c r="BK21" i="28" s="1"/>
  <c r="AP176" i="13"/>
  <c r="AN22" i="28" s="1"/>
  <c r="BB176" i="13"/>
  <c r="AZ22" i="28" s="1"/>
  <c r="BN176" i="13"/>
  <c r="BL22" i="28" s="1"/>
  <c r="AQ177" i="13"/>
  <c r="AO23" i="28" s="1"/>
  <c r="BC177" i="13"/>
  <c r="BA23" i="28" s="1"/>
  <c r="BO177" i="13"/>
  <c r="BM23" i="28" s="1"/>
  <c r="AR178" i="13"/>
  <c r="AP24" i="28" s="1"/>
  <c r="BD178" i="13"/>
  <c r="BB24" i="28" s="1"/>
  <c r="AG179" i="13"/>
  <c r="AE25" i="28" s="1"/>
  <c r="AS179" i="13"/>
  <c r="AQ25" i="28" s="1"/>
  <c r="BE179" i="13"/>
  <c r="BC25" i="28" s="1"/>
  <c r="AH180" i="13"/>
  <c r="AF26" i="28" s="1"/>
  <c r="AT180" i="13"/>
  <c r="AR26" i="28" s="1"/>
  <c r="BF180" i="13"/>
  <c r="BD26" i="28" s="1"/>
  <c r="AI181" i="13"/>
  <c r="AG27" i="28" s="1"/>
  <c r="AU181" i="13"/>
  <c r="AS27" i="28" s="1"/>
  <c r="BG181" i="13"/>
  <c r="BE27" i="28" s="1"/>
  <c r="AJ182" i="13"/>
  <c r="AH28" i="28" s="1"/>
  <c r="AV182" i="13"/>
  <c r="AT28" i="28" s="1"/>
  <c r="BH182" i="13"/>
  <c r="BF28" i="28" s="1"/>
  <c r="AK183" i="13"/>
  <c r="AI29" i="28" s="1"/>
  <c r="AW183" i="13"/>
  <c r="AU29" i="28" s="1"/>
  <c r="BI183" i="13"/>
  <c r="BG29" i="28" s="1"/>
  <c r="AL184" i="13"/>
  <c r="AJ30" i="28" s="1"/>
  <c r="AX184" i="13"/>
  <c r="AV30" i="28" s="1"/>
  <c r="BJ184" i="13"/>
  <c r="BH30" i="28" s="1"/>
  <c r="AM185" i="13"/>
  <c r="AK31" i="28" s="1"/>
  <c r="AY185" i="13"/>
  <c r="AW31" i="28" s="1"/>
  <c r="BK185" i="13"/>
  <c r="BI31" i="28" s="1"/>
  <c r="AN186" i="13"/>
  <c r="AL32" i="28" s="1"/>
  <c r="AZ186" i="13"/>
  <c r="AX32" i="28" s="1"/>
  <c r="BL186" i="13"/>
  <c r="BJ32" i="28" s="1"/>
  <c r="AO187" i="13"/>
  <c r="AM33" i="28" s="1"/>
  <c r="BA187" i="13"/>
  <c r="AY33" i="28" s="1"/>
  <c r="BM187" i="13"/>
  <c r="BK33" i="28" s="1"/>
  <c r="AL171" i="13"/>
  <c r="AJ17" i="28" s="1"/>
  <c r="AX171" i="13"/>
  <c r="AV17" i="28" s="1"/>
  <c r="BJ171" i="13"/>
  <c r="BH17" i="28" s="1"/>
  <c r="AM172" i="13"/>
  <c r="AK18" i="28" s="1"/>
  <c r="AY172" i="13"/>
  <c r="AW18" i="28" s="1"/>
  <c r="BK172" i="13"/>
  <c r="BI18" i="28" s="1"/>
  <c r="AN173" i="13"/>
  <c r="AL19" i="28" s="1"/>
  <c r="AZ173" i="13"/>
  <c r="AX19" i="28" s="1"/>
  <c r="BL173" i="13"/>
  <c r="BJ19" i="28" s="1"/>
  <c r="AO174" i="13"/>
  <c r="AM20" i="28" s="1"/>
  <c r="BA174" i="13"/>
  <c r="AY20" i="28" s="1"/>
  <c r="BM174" i="13"/>
  <c r="BK20" i="28" s="1"/>
  <c r="AP175" i="13"/>
  <c r="AN21" i="28" s="1"/>
  <c r="BB175" i="13"/>
  <c r="AZ21" i="28" s="1"/>
  <c r="BN175" i="13"/>
  <c r="BL21" i="28" s="1"/>
  <c r="AQ176" i="13"/>
  <c r="AO22" i="28" s="1"/>
  <c r="BC176" i="13"/>
  <c r="BA22" i="28" s="1"/>
  <c r="BO176" i="13"/>
  <c r="BM22" i="28" s="1"/>
  <c r="AR177" i="13"/>
  <c r="AP23" i="28" s="1"/>
  <c r="BD177" i="13"/>
  <c r="BB23" i="28" s="1"/>
  <c r="AG178" i="13"/>
  <c r="AE24" i="28" s="1"/>
  <c r="AS178" i="13"/>
  <c r="AQ24" i="28" s="1"/>
  <c r="BE178" i="13"/>
  <c r="BC24" i="28" s="1"/>
  <c r="AH179" i="13"/>
  <c r="AF25" i="28" s="1"/>
  <c r="AT179" i="13"/>
  <c r="AR25" i="28" s="1"/>
  <c r="BF179" i="13"/>
  <c r="BD25" i="28" s="1"/>
  <c r="AI180" i="13"/>
  <c r="AG26" i="28" s="1"/>
  <c r="AU180" i="13"/>
  <c r="AS26" i="28" s="1"/>
  <c r="BG180" i="13"/>
  <c r="BE26" i="28" s="1"/>
  <c r="AJ181" i="13"/>
  <c r="AH27" i="28" s="1"/>
  <c r="AV181" i="13"/>
  <c r="AT27" i="28" s="1"/>
  <c r="BH181" i="13"/>
  <c r="BF27" i="28" s="1"/>
  <c r="AK182" i="13"/>
  <c r="AI28" i="28" s="1"/>
  <c r="AW182" i="13"/>
  <c r="AU28" i="28" s="1"/>
  <c r="BI182" i="13"/>
  <c r="BG28" i="28" s="1"/>
  <c r="AL183" i="13"/>
  <c r="AJ29" i="28" s="1"/>
  <c r="AX183" i="13"/>
  <c r="AV29" i="28" s="1"/>
  <c r="BJ183" i="13"/>
  <c r="BH29" i="28" s="1"/>
  <c r="AM184" i="13"/>
  <c r="AK30" i="28" s="1"/>
  <c r="AY184" i="13"/>
  <c r="AW30" i="28" s="1"/>
  <c r="BK184" i="13"/>
  <c r="BI30" i="28" s="1"/>
  <c r="AN185" i="13"/>
  <c r="AL31" i="28" s="1"/>
  <c r="AZ185" i="13"/>
  <c r="AX31" i="28" s="1"/>
  <c r="BL185" i="13"/>
  <c r="BJ31" i="28" s="1"/>
  <c r="AO186" i="13"/>
  <c r="AM32" i="28" s="1"/>
  <c r="BA186" i="13"/>
  <c r="AY32" i="28" s="1"/>
  <c r="BM186" i="13"/>
  <c r="BK32" i="28" s="1"/>
  <c r="AP187" i="13"/>
  <c r="AN33" i="28" s="1"/>
  <c r="BB187" i="13"/>
  <c r="AZ33" i="28" s="1"/>
  <c r="BN187" i="13"/>
  <c r="BL33" i="28" s="1"/>
  <c r="AM171" i="13"/>
  <c r="AK17" i="28" s="1"/>
  <c r="AY171" i="13"/>
  <c r="AW17" i="28" s="1"/>
  <c r="BK171" i="13"/>
  <c r="BI17" i="28" s="1"/>
  <c r="AN172" i="13"/>
  <c r="AL18" i="28" s="1"/>
  <c r="AZ172" i="13"/>
  <c r="AX18" i="28" s="1"/>
  <c r="BL172" i="13"/>
  <c r="BJ18" i="28" s="1"/>
  <c r="AO173" i="13"/>
  <c r="AM19" i="28" s="1"/>
  <c r="BA173" i="13"/>
  <c r="AY19" i="28" s="1"/>
  <c r="BM173" i="13"/>
  <c r="BK19" i="28" s="1"/>
  <c r="AP174" i="13"/>
  <c r="AN20" i="28" s="1"/>
  <c r="BB174" i="13"/>
  <c r="AZ20" i="28" s="1"/>
  <c r="BN174" i="13"/>
  <c r="BL20" i="28" s="1"/>
  <c r="AQ175" i="13"/>
  <c r="AO21" i="28" s="1"/>
  <c r="BC175" i="13"/>
  <c r="BA21" i="28" s="1"/>
  <c r="BO175" i="13"/>
  <c r="BM21" i="28" s="1"/>
  <c r="AR176" i="13"/>
  <c r="AP22" i="28" s="1"/>
  <c r="BD176" i="13"/>
  <c r="BB22" i="28" s="1"/>
  <c r="AG177" i="13"/>
  <c r="AE23" i="28" s="1"/>
  <c r="AS177" i="13"/>
  <c r="AQ23" i="28" s="1"/>
  <c r="BE177" i="13"/>
  <c r="BC23" i="28" s="1"/>
  <c r="AH178" i="13"/>
  <c r="AF24" i="28" s="1"/>
  <c r="AT178" i="13"/>
  <c r="AR24" i="28" s="1"/>
  <c r="BF178" i="13"/>
  <c r="BD24" i="28" s="1"/>
  <c r="AI179" i="13"/>
  <c r="AG25" i="28" s="1"/>
  <c r="AU179" i="13"/>
  <c r="AS25" i="28" s="1"/>
  <c r="BG179" i="13"/>
  <c r="BE25" i="28" s="1"/>
  <c r="AJ180" i="13"/>
  <c r="AH26" i="28" s="1"/>
  <c r="AV180" i="13"/>
  <c r="AT26" i="28" s="1"/>
  <c r="BH180" i="13"/>
  <c r="BF26" i="28" s="1"/>
  <c r="AK181" i="13"/>
  <c r="AI27" i="28" s="1"/>
  <c r="AW181" i="13"/>
  <c r="AU27" i="28" s="1"/>
  <c r="BI181" i="13"/>
  <c r="BG27" i="28" s="1"/>
  <c r="AL182" i="13"/>
  <c r="AJ28" i="28" s="1"/>
  <c r="AX182" i="13"/>
  <c r="AV28" i="28" s="1"/>
  <c r="BJ182" i="13"/>
  <c r="BH28" i="28" s="1"/>
  <c r="AM183" i="13"/>
  <c r="AK29" i="28" s="1"/>
  <c r="AY183" i="13"/>
  <c r="AW29" i="28" s="1"/>
  <c r="BK183" i="13"/>
  <c r="BI29" i="28" s="1"/>
  <c r="AN184" i="13"/>
  <c r="AL30" i="28" s="1"/>
  <c r="AZ184" i="13"/>
  <c r="AX30" i="28" s="1"/>
  <c r="BL184" i="13"/>
  <c r="BJ30" i="28" s="1"/>
  <c r="AO185" i="13"/>
  <c r="AM31" i="28" s="1"/>
  <c r="BA185" i="13"/>
  <c r="AY31" i="28" s="1"/>
  <c r="BM185" i="13"/>
  <c r="BK31" i="28" s="1"/>
  <c r="AP186" i="13"/>
  <c r="AN32" i="28" s="1"/>
  <c r="BB186" i="13"/>
  <c r="AZ32" i="28" s="1"/>
  <c r="BN186" i="13"/>
  <c r="BL32" i="28" s="1"/>
  <c r="AQ187" i="13"/>
  <c r="AO33" i="28" s="1"/>
  <c r="BC187" i="13"/>
  <c r="BA33" i="28" s="1"/>
  <c r="BO187" i="13"/>
  <c r="BM33" i="28" s="1"/>
  <c r="AR188" i="13"/>
  <c r="AP34" i="28" s="1"/>
  <c r="BD188" i="13"/>
  <c r="BB34" i="28" s="1"/>
  <c r="AG189" i="13"/>
  <c r="AE35" i="28" s="1"/>
  <c r="AS189" i="13"/>
  <c r="AQ35" i="28" s="1"/>
  <c r="BE189" i="13"/>
  <c r="BC35"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7" i="28" s="1"/>
  <c r="BC171" i="13"/>
  <c r="BA17" i="28" s="1"/>
  <c r="BO171" i="13"/>
  <c r="BM17" i="28" s="1"/>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K177" i="13"/>
  <c r="AI23" i="28" s="1"/>
  <c r="AW177" i="13"/>
  <c r="AU23" i="28" s="1"/>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P182" i="13"/>
  <c r="AN28" i="28" s="1"/>
  <c r="BB182" i="13"/>
  <c r="AZ28" i="28" s="1"/>
  <c r="BN182" i="13"/>
  <c r="BL28" i="28" s="1"/>
  <c r="AQ183" i="13"/>
  <c r="AO29" i="28" s="1"/>
  <c r="BC183" i="13"/>
  <c r="BA29" i="28" s="1"/>
  <c r="BO183" i="13"/>
  <c r="BM29" i="28" s="1"/>
  <c r="AR184" i="13"/>
  <c r="AP30" i="28" s="1"/>
  <c r="BD184" i="13"/>
  <c r="BB30" i="28" s="1"/>
  <c r="AG185" i="13"/>
  <c r="AE31" i="28" s="1"/>
  <c r="AS185" i="13"/>
  <c r="AQ31" i="28" s="1"/>
  <c r="BE185" i="13"/>
  <c r="BC31" i="28" s="1"/>
  <c r="AH186" i="13"/>
  <c r="AF32" i="28" s="1"/>
  <c r="AT186" i="13"/>
  <c r="AR32" i="28" s="1"/>
  <c r="BF186" i="13"/>
  <c r="BD32" i="28" s="1"/>
  <c r="AI187" i="13"/>
  <c r="AG33" i="28" s="1"/>
  <c r="AU187" i="13"/>
  <c r="AS33" i="28" s="1"/>
  <c r="BG187" i="13"/>
  <c r="BE33" i="28" s="1"/>
  <c r="AO171" i="13"/>
  <c r="AM17" i="28" s="1"/>
  <c r="BG171" i="13"/>
  <c r="BE17" i="28" s="1"/>
  <c r="AT172" i="13"/>
  <c r="AR18" i="28" s="1"/>
  <c r="BO172" i="13"/>
  <c r="BM18" i="28" s="1"/>
  <c r="BB173" i="13"/>
  <c r="AZ19" i="28" s="1"/>
  <c r="AK174" i="13"/>
  <c r="AI20" i="28" s="1"/>
  <c r="BG174" i="13"/>
  <c r="BE20" i="28" s="1"/>
  <c r="AS175" i="13"/>
  <c r="AQ21" i="28" s="1"/>
  <c r="BK175" i="13"/>
  <c r="BI21" i="28" s="1"/>
  <c r="AX176" i="13"/>
  <c r="AV22" i="28" s="1"/>
  <c r="AJ177" i="13"/>
  <c r="AH23" i="28" s="1"/>
  <c r="BF177" i="13"/>
  <c r="BD23" i="28" s="1"/>
  <c r="AO178" i="13"/>
  <c r="AM24" i="28" s="1"/>
  <c r="BK178" i="13"/>
  <c r="BI24" i="28" s="1"/>
  <c r="AW179" i="13"/>
  <c r="AU25" i="28" s="1"/>
  <c r="BO179" i="13"/>
  <c r="BM25" i="28" s="1"/>
  <c r="BB180" i="13"/>
  <c r="AZ26" i="28" s="1"/>
  <c r="AN181" i="13"/>
  <c r="AL27" i="28" s="1"/>
  <c r="BJ181" i="13"/>
  <c r="BH27" i="28" s="1"/>
  <c r="AS182" i="13"/>
  <c r="AQ28" i="28" s="1"/>
  <c r="BO182" i="13"/>
  <c r="BM28" i="28" s="1"/>
  <c r="BA183" i="13"/>
  <c r="AY29" i="28" s="1"/>
  <c r="AJ184" i="13"/>
  <c r="AH30" i="28" s="1"/>
  <c r="BF184" i="13"/>
  <c r="BD30" i="28" s="1"/>
  <c r="AR185" i="13"/>
  <c r="AP31" i="28" s="1"/>
  <c r="BN185" i="13"/>
  <c r="BL31" i="28" s="1"/>
  <c r="AW186" i="13"/>
  <c r="AU32" i="28" s="1"/>
  <c r="AJ187" i="13"/>
  <c r="AH33" i="28" s="1"/>
  <c r="BE187" i="13"/>
  <c r="BC33" i="28" s="1"/>
  <c r="AM188" i="13"/>
  <c r="AK34" i="28" s="1"/>
  <c r="BB188" i="13"/>
  <c r="AZ34" i="28" s="1"/>
  <c r="AH189" i="13"/>
  <c r="AF35" i="28" s="1"/>
  <c r="AV189" i="13"/>
  <c r="AT35" i="28" s="1"/>
  <c r="BJ189" i="13"/>
  <c r="BH35"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7" i="28" s="1"/>
  <c r="BL171" i="13"/>
  <c r="BJ17" i="28" s="1"/>
  <c r="AU172" i="13"/>
  <c r="AS18" i="28" s="1"/>
  <c r="AH173" i="13"/>
  <c r="AF19" i="28" s="1"/>
  <c r="BC173" i="13"/>
  <c r="BA19" i="28" s="1"/>
  <c r="AL174" i="13"/>
  <c r="AJ20" i="28" s="1"/>
  <c r="BH174" i="13"/>
  <c r="BF20" i="28" s="1"/>
  <c r="AT175" i="13"/>
  <c r="AR21" i="28" s="1"/>
  <c r="AG176" i="13"/>
  <c r="AE22" i="28" s="1"/>
  <c r="AY176" i="13"/>
  <c r="AW22" i="28" s="1"/>
  <c r="AL177" i="13"/>
  <c r="AJ23" i="28" s="1"/>
  <c r="BG177" i="13"/>
  <c r="BE23" i="28" s="1"/>
  <c r="AP178" i="13"/>
  <c r="AN24" i="28" s="1"/>
  <c r="BL178" i="13"/>
  <c r="BJ24" i="28" s="1"/>
  <c r="AX179" i="13"/>
  <c r="AV25" i="28" s="1"/>
  <c r="AK180" i="13"/>
  <c r="AI26" i="28" s="1"/>
  <c r="BC180" i="13"/>
  <c r="BA26" i="28" s="1"/>
  <c r="AP181" i="13"/>
  <c r="AN27" i="28" s="1"/>
  <c r="BK181" i="13"/>
  <c r="BI27" i="28" s="1"/>
  <c r="AT182" i="13"/>
  <c r="AR28" i="28" s="1"/>
  <c r="AG183" i="13"/>
  <c r="AE29" i="28" s="1"/>
  <c r="BB183" i="13"/>
  <c r="AZ29" i="28" s="1"/>
  <c r="AO184" i="13"/>
  <c r="AM30" i="28" s="1"/>
  <c r="BG184" i="13"/>
  <c r="BE30" i="28" s="1"/>
  <c r="AT185" i="13"/>
  <c r="AR31" i="28" s="1"/>
  <c r="BO185" i="13"/>
  <c r="BM31" i="28" s="1"/>
  <c r="AX186" i="13"/>
  <c r="AV32" i="28" s="1"/>
  <c r="AK187" i="13"/>
  <c r="AI33" i="28" s="1"/>
  <c r="BF187" i="13"/>
  <c r="BD33" i="28" s="1"/>
  <c r="AN188" i="13"/>
  <c r="AL34" i="28" s="1"/>
  <c r="BC188" i="13"/>
  <c r="BA34" i="28" s="1"/>
  <c r="AI189" i="13"/>
  <c r="AG35" i="28" s="1"/>
  <c r="AW189" i="13"/>
  <c r="AU35" i="28" s="1"/>
  <c r="BK189" i="13"/>
  <c r="BI35"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7" i="28" s="1"/>
  <c r="BM171" i="13"/>
  <c r="BK17" i="28" s="1"/>
  <c r="AV172" i="13"/>
  <c r="AT18" i="28" s="1"/>
  <c r="AI173" i="13"/>
  <c r="AG19" i="28" s="1"/>
  <c r="BD173" i="13"/>
  <c r="BB19" i="28" s="1"/>
  <c r="AQ174" i="13"/>
  <c r="AO20" i="28" s="1"/>
  <c r="BI174" i="13"/>
  <c r="BG20" i="28" s="1"/>
  <c r="AV175" i="13"/>
  <c r="AT21" i="28" s="1"/>
  <c r="AH176" i="13"/>
  <c r="AF22" i="28" s="1"/>
  <c r="AZ176" i="13"/>
  <c r="AX22" i="28" s="1"/>
  <c r="AM177" i="13"/>
  <c r="AK23" i="28" s="1"/>
  <c r="BH177" i="13"/>
  <c r="BF23" i="28" s="1"/>
  <c r="AU178" i="13"/>
  <c r="AS24" i="28" s="1"/>
  <c r="BM178" i="13"/>
  <c r="BK24" i="28" s="1"/>
  <c r="AZ179" i="13"/>
  <c r="AX25" i="28" s="1"/>
  <c r="AL180" i="13"/>
  <c r="AJ26" i="28" s="1"/>
  <c r="BD180" i="13"/>
  <c r="BB26" i="28" s="1"/>
  <c r="AQ181" i="13"/>
  <c r="AO27" i="28" s="1"/>
  <c r="BL181" i="13"/>
  <c r="BJ27" i="28" s="1"/>
  <c r="AY182" i="13"/>
  <c r="AW28" i="28" s="1"/>
  <c r="AH183" i="13"/>
  <c r="AF29" i="28" s="1"/>
  <c r="BD183" i="13"/>
  <c r="BB29" i="28" s="1"/>
  <c r="AP184" i="13"/>
  <c r="AN30" i="28" s="1"/>
  <c r="BH184" i="13"/>
  <c r="BF30" i="28" s="1"/>
  <c r="AU185" i="13"/>
  <c r="AS31" i="28" s="1"/>
  <c r="AG186" i="13"/>
  <c r="AE32" i="28" s="1"/>
  <c r="BC186" i="13"/>
  <c r="BA32" i="28" s="1"/>
  <c r="AL187" i="13"/>
  <c r="AJ33" i="28" s="1"/>
  <c r="BH187" i="13"/>
  <c r="BF33" i="28" s="1"/>
  <c r="AP188" i="13"/>
  <c r="AN34" i="28" s="1"/>
  <c r="BE188" i="13"/>
  <c r="BC34" i="28" s="1"/>
  <c r="AJ189" i="13"/>
  <c r="AH35" i="28" s="1"/>
  <c r="AX189" i="13"/>
  <c r="AV35" i="28" s="1"/>
  <c r="BL189" i="13"/>
  <c r="BJ35"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7" i="28" s="1"/>
  <c r="AJ172" i="13"/>
  <c r="AH18" i="28" s="1"/>
  <c r="BF172" i="13"/>
  <c r="BD18" i="28" s="1"/>
  <c r="AR173" i="13"/>
  <c r="AP19" i="28" s="1"/>
  <c r="BN173" i="13"/>
  <c r="BL19" i="28" s="1"/>
  <c r="AW174" i="13"/>
  <c r="AU20" i="28" s="1"/>
  <c r="AJ175" i="13"/>
  <c r="AH21" i="28" s="1"/>
  <c r="BE175" i="13"/>
  <c r="BC21" i="28" s="1"/>
  <c r="AN176" i="13"/>
  <c r="AL22" i="28" s="1"/>
  <c r="BJ176" i="13"/>
  <c r="BH22" i="28" s="1"/>
  <c r="AV177" i="13"/>
  <c r="AT23" i="28" s="1"/>
  <c r="AI178" i="13"/>
  <c r="AG24" i="28" s="1"/>
  <c r="BA178" i="13"/>
  <c r="AY24" i="28" s="1"/>
  <c r="AN179" i="13"/>
  <c r="AL25" i="28" s="1"/>
  <c r="BI179" i="13"/>
  <c r="BG25" i="28" s="1"/>
  <c r="AR180" i="13"/>
  <c r="AP26" i="28" s="1"/>
  <c r="BN180" i="13"/>
  <c r="BL26" i="28" s="1"/>
  <c r="AZ181" i="13"/>
  <c r="AX27" i="28" s="1"/>
  <c r="AM182" i="13"/>
  <c r="AK28" i="28" s="1"/>
  <c r="BE182" i="13"/>
  <c r="BC28" i="28" s="1"/>
  <c r="AR183" i="13"/>
  <c r="AP29" i="28" s="1"/>
  <c r="BM183" i="13"/>
  <c r="BK29" i="28" s="1"/>
  <c r="AV184" i="13"/>
  <c r="AT30" i="28" s="1"/>
  <c r="AI185" i="13"/>
  <c r="AG31" i="28" s="1"/>
  <c r="BD185" i="13"/>
  <c r="BB31" i="28" s="1"/>
  <c r="AQ186" i="13"/>
  <c r="AO32" i="28" s="1"/>
  <c r="BI186" i="13"/>
  <c r="BG32" i="28" s="1"/>
  <c r="AV187" i="13"/>
  <c r="AT33" i="28" s="1"/>
  <c r="AH188" i="13"/>
  <c r="AF34" i="28" s="1"/>
  <c r="AV188" i="13"/>
  <c r="AT34" i="28" s="1"/>
  <c r="BJ188" i="13"/>
  <c r="BH34" i="28" s="1"/>
  <c r="AO189" i="13"/>
  <c r="AM35" i="28" s="1"/>
  <c r="BD189" i="13"/>
  <c r="BB35"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7" i="28" s="1"/>
  <c r="AO172" i="13"/>
  <c r="AM18" i="28" s="1"/>
  <c r="AJ173" i="13"/>
  <c r="AH19" i="28" s="1"/>
  <c r="BO173" i="13"/>
  <c r="BM19" i="28" s="1"/>
  <c r="BJ174" i="13"/>
  <c r="BH20" i="28" s="1"/>
  <c r="BF175" i="13"/>
  <c r="BD21" i="28" s="1"/>
  <c r="BE176" i="13"/>
  <c r="BC22" i="28" s="1"/>
  <c r="AX177" i="13"/>
  <c r="AV23" i="28" s="1"/>
  <c r="AV178" i="13"/>
  <c r="AT24" i="28" s="1"/>
  <c r="AO179" i="13"/>
  <c r="AM25" i="28" s="1"/>
  <c r="AM180" i="13"/>
  <c r="AK26" i="28" s="1"/>
  <c r="BO180" i="13"/>
  <c r="BM26" i="28" s="1"/>
  <c r="BN181" i="13"/>
  <c r="BL27" i="28" s="1"/>
  <c r="BF182" i="13"/>
  <c r="BD28" i="28" s="1"/>
  <c r="BE183" i="13"/>
  <c r="BC29" i="28" s="1"/>
  <c r="BA184" i="13"/>
  <c r="AY30" i="28" s="1"/>
  <c r="AV185" i="13"/>
  <c r="AT31" i="28" s="1"/>
  <c r="AR186" i="13"/>
  <c r="AP32" i="28" s="1"/>
  <c r="AM187" i="13"/>
  <c r="AK33" i="28" s="1"/>
  <c r="AI188" i="13"/>
  <c r="AG34" i="28" s="1"/>
  <c r="BF188" i="13"/>
  <c r="BD34" i="28" s="1"/>
  <c r="AQ189" i="13"/>
  <c r="AO35" i="28" s="1"/>
  <c r="BM189" i="13"/>
  <c r="BK35"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7" i="28" s="1"/>
  <c r="AP172" i="13"/>
  <c r="AN18" i="28" s="1"/>
  <c r="AK173" i="13"/>
  <c r="AI19" i="28" s="1"/>
  <c r="AG174" i="13"/>
  <c r="AE20" i="28" s="1"/>
  <c r="BO174" i="13"/>
  <c r="BM20" i="28" s="1"/>
  <c r="BH175" i="13"/>
  <c r="BF21" i="28" s="1"/>
  <c r="BF176" i="13"/>
  <c r="BD22" i="28" s="1"/>
  <c r="AY177" i="13"/>
  <c r="AW23" i="28" s="1"/>
  <c r="AW178" i="13"/>
  <c r="AU24" i="28" s="1"/>
  <c r="AP179" i="13"/>
  <c r="AN25" i="28" s="1"/>
  <c r="AO180" i="13"/>
  <c r="AM26" i="28" s="1"/>
  <c r="AG181" i="13"/>
  <c r="AE27" i="28" s="1"/>
  <c r="BO181" i="13"/>
  <c r="BM27" i="28" s="1"/>
  <c r="BK182" i="13"/>
  <c r="BI28" i="28" s="1"/>
  <c r="BF183" i="13"/>
  <c r="BD29" i="28" s="1"/>
  <c r="BB184" i="13"/>
  <c r="AZ30" i="28" s="1"/>
  <c r="AW185" i="13"/>
  <c r="AU31" i="28" s="1"/>
  <c r="AS186" i="13"/>
  <c r="AQ32" i="28" s="1"/>
  <c r="AR187" i="13"/>
  <c r="AP33" i="28" s="1"/>
  <c r="AJ188" i="13"/>
  <c r="AH34" i="28" s="1"/>
  <c r="BG188" i="13"/>
  <c r="BE34" i="28" s="1"/>
  <c r="AR189" i="13"/>
  <c r="AP35" i="28" s="1"/>
  <c r="BO189" i="13"/>
  <c r="BM35"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7" i="28" s="1"/>
  <c r="AQ172" i="13"/>
  <c r="AO18" i="28" s="1"/>
  <c r="AP173" i="13"/>
  <c r="AN19" i="28" s="1"/>
  <c r="AI174" i="13"/>
  <c r="AG20" i="28" s="1"/>
  <c r="AG175" i="13"/>
  <c r="AE21" i="28" s="1"/>
  <c r="BI175" i="13"/>
  <c r="BG21" i="28" s="1"/>
  <c r="BG176" i="13"/>
  <c r="BE22" i="28" s="1"/>
  <c r="AZ177" i="13"/>
  <c r="AX23" i="28" s="1"/>
  <c r="AY178" i="13"/>
  <c r="AW24" i="28" s="1"/>
  <c r="AQ179" i="13"/>
  <c r="AO25" i="28" s="1"/>
  <c r="AP180" i="13"/>
  <c r="AN26" i="28" s="1"/>
  <c r="AL181" i="13"/>
  <c r="AJ27" i="28" s="1"/>
  <c r="AG182" i="13"/>
  <c r="AE28" i="28" s="1"/>
  <c r="BL182" i="13"/>
  <c r="BJ28" i="28" s="1"/>
  <c r="BG183" i="13"/>
  <c r="BE29" i="28" s="1"/>
  <c r="BC184" i="13"/>
  <c r="BA30" i="28" s="1"/>
  <c r="BB185" i="13"/>
  <c r="AZ31" i="28" s="1"/>
  <c r="AU186" i="13"/>
  <c r="AS32" i="28" s="1"/>
  <c r="AS187" i="13"/>
  <c r="AQ33" i="28" s="1"/>
  <c r="AK188" i="13"/>
  <c r="AI34" i="28" s="1"/>
  <c r="BH188" i="13"/>
  <c r="BF34" i="28" s="1"/>
  <c r="AT189" i="13"/>
  <c r="AR35"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7" i="28" s="1"/>
  <c r="AS172" i="13"/>
  <c r="AQ18" i="28" s="1"/>
  <c r="AQ173" i="13"/>
  <c r="AO19" i="28" s="1"/>
  <c r="AJ174" i="13"/>
  <c r="AH20" i="28" s="1"/>
  <c r="AH175" i="13"/>
  <c r="AF21" i="28" s="1"/>
  <c r="BJ175" i="13"/>
  <c r="BH21" i="28" s="1"/>
  <c r="BI176" i="13"/>
  <c r="BG22" i="28" s="1"/>
  <c r="BA177" i="13"/>
  <c r="AY23" i="28" s="1"/>
  <c r="AZ178" i="13"/>
  <c r="AX24" i="28" s="1"/>
  <c r="AV179" i="13"/>
  <c r="AT25" i="28" s="1"/>
  <c r="AQ180" i="13"/>
  <c r="AO26" i="28" s="1"/>
  <c r="AM181" i="13"/>
  <c r="AK27" i="28" s="1"/>
  <c r="AH182" i="13"/>
  <c r="AF28" i="28" s="1"/>
  <c r="BM182" i="13"/>
  <c r="BK28" i="28" s="1"/>
  <c r="BL183" i="13"/>
  <c r="BJ29" i="28" s="1"/>
  <c r="BE184" i="13"/>
  <c r="BC30" i="28" s="1"/>
  <c r="BC185" i="13"/>
  <c r="BA31" i="28" s="1"/>
  <c r="AV186" i="13"/>
  <c r="AT32" i="28" s="1"/>
  <c r="AT187" i="13"/>
  <c r="AR33" i="28" s="1"/>
  <c r="AL188" i="13"/>
  <c r="AJ34" i="28" s="1"/>
  <c r="BI188" i="13"/>
  <c r="BG34" i="28" s="1"/>
  <c r="AU189" i="13"/>
  <c r="AS35"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7" i="28" s="1"/>
  <c r="BG172" i="13"/>
  <c r="BE18" i="28" s="1"/>
  <c r="AR174" i="13"/>
  <c r="AP20" i="28" s="1"/>
  <c r="AW175" i="13"/>
  <c r="AU21" i="28" s="1"/>
  <c r="BK176" i="13"/>
  <c r="BI22" i="28" s="1"/>
  <c r="AJ178" i="13"/>
  <c r="AH24" i="28" s="1"/>
  <c r="BA179" i="13"/>
  <c r="AY25" i="28" s="1"/>
  <c r="BI180" i="13"/>
  <c r="BG26" i="28" s="1"/>
  <c r="AN182" i="13"/>
  <c r="AL28" i="28" s="1"/>
  <c r="AS183" i="13"/>
  <c r="AQ29" i="28" s="1"/>
  <c r="BM184" i="13"/>
  <c r="BK30" i="28" s="1"/>
  <c r="AI186" i="13"/>
  <c r="AG32" i="28" s="1"/>
  <c r="AW187" i="13"/>
  <c r="AU33" i="28" s="1"/>
  <c r="AW188" i="13"/>
  <c r="AU34" i="28" s="1"/>
  <c r="AY189" i="13"/>
  <c r="AW35"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7" i="28" s="1"/>
  <c r="BH172" i="13"/>
  <c r="BF18" i="28" s="1"/>
  <c r="AS174" i="13"/>
  <c r="AQ20" i="28" s="1"/>
  <c r="AX175" i="13"/>
  <c r="AV21" i="28" s="1"/>
  <c r="BL176" i="13"/>
  <c r="BJ22" i="28" s="1"/>
  <c r="AK178" i="13"/>
  <c r="AI24" i="28" s="1"/>
  <c r="BB179" i="13"/>
  <c r="AZ25" i="28" s="1"/>
  <c r="BJ180" i="13"/>
  <c r="BH26" i="28" s="1"/>
  <c r="AO182" i="13"/>
  <c r="AM28" i="28" s="1"/>
  <c r="AT183" i="13"/>
  <c r="AR29" i="28" s="1"/>
  <c r="BN184" i="13"/>
  <c r="BL30" i="28" s="1"/>
  <c r="AJ186" i="13"/>
  <c r="AH32" i="28" s="1"/>
  <c r="AX187" i="13"/>
  <c r="AV33" i="28" s="1"/>
  <c r="AX188" i="13"/>
  <c r="AV34" i="28" s="1"/>
  <c r="AZ189" i="13"/>
  <c r="AX35"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7" i="28" s="1"/>
  <c r="BM172" i="13"/>
  <c r="BK18" i="28" s="1"/>
  <c r="AU174" i="13"/>
  <c r="AS20" i="28" s="1"/>
  <c r="AY175" i="13"/>
  <c r="AW21" i="28" s="1"/>
  <c r="AH177" i="13"/>
  <c r="AF23" i="28" s="1"/>
  <c r="AM178" i="13"/>
  <c r="AK24" i="28" s="1"/>
  <c r="BC179" i="13"/>
  <c r="BA25" i="28" s="1"/>
  <c r="BK180" i="13"/>
  <c r="BI26" i="28" s="1"/>
  <c r="AQ182" i="13"/>
  <c r="AO28" i="28" s="1"/>
  <c r="AU183" i="13"/>
  <c r="AS29" i="28" s="1"/>
  <c r="BO184" i="13"/>
  <c r="BM30" i="28" s="1"/>
  <c r="AK186" i="13"/>
  <c r="AI32" i="28" s="1"/>
  <c r="AY187" i="13"/>
  <c r="AW33" i="28" s="1"/>
  <c r="AY188" i="13"/>
  <c r="AW34" i="28" s="1"/>
  <c r="BA189" i="13"/>
  <c r="AY35"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7" i="28" s="1"/>
  <c r="BN172" i="13"/>
  <c r="BL18" i="28" s="1"/>
  <c r="AV174" i="13"/>
  <c r="AT20" i="28" s="1"/>
  <c r="BD175" i="13"/>
  <c r="BB21" i="28" s="1"/>
  <c r="AI177" i="13"/>
  <c r="AG23" i="28" s="1"/>
  <c r="AN178" i="13"/>
  <c r="AL24" i="28" s="1"/>
  <c r="BH179" i="13"/>
  <c r="BF25" i="28" s="1"/>
  <c r="BM180" i="13"/>
  <c r="BK26" i="28" s="1"/>
  <c r="AR182" i="13"/>
  <c r="AP28" i="28" s="1"/>
  <c r="AZ183" i="13"/>
  <c r="AX29" i="28" s="1"/>
  <c r="AH185" i="13"/>
  <c r="AF31" i="28" s="1"/>
  <c r="AL186" i="13"/>
  <c r="AJ32" i="28" s="1"/>
  <c r="BD187" i="13"/>
  <c r="BB33" i="28" s="1"/>
  <c r="AZ188" i="13"/>
  <c r="AX34" i="28" s="1"/>
  <c r="BC189" i="13"/>
  <c r="BA35"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8" i="28" s="1"/>
  <c r="AW173" i="13"/>
  <c r="AU19" i="28" s="1"/>
  <c r="BE174" i="13"/>
  <c r="BC20" i="28" s="1"/>
  <c r="AM176" i="13"/>
  <c r="AK22" i="28" s="1"/>
  <c r="AU177" i="13"/>
  <c r="AS23" i="28" s="1"/>
  <c r="BI178" i="13"/>
  <c r="BG24" i="28" s="1"/>
  <c r="BN179" i="13"/>
  <c r="BL25" i="28" s="1"/>
  <c r="AY181" i="13"/>
  <c r="AW27" i="28" s="1"/>
  <c r="BD182" i="13"/>
  <c r="BB28" i="28" s="1"/>
  <c r="AI184" i="13"/>
  <c r="AG30" i="28" s="1"/>
  <c r="AQ185" i="13"/>
  <c r="AO31" i="28" s="1"/>
  <c r="BH186" i="13"/>
  <c r="BF32" i="28" s="1"/>
  <c r="AG188" i="13"/>
  <c r="AE34" i="28" s="1"/>
  <c r="BO188" i="13"/>
  <c r="BM34" i="28" s="1"/>
  <c r="BI189" i="13"/>
  <c r="BG35"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7" i="28" s="1"/>
  <c r="BH173" i="13"/>
  <c r="BF19" i="28" s="1"/>
  <c r="AS176" i="13"/>
  <c r="AQ22" i="28" s="1"/>
  <c r="BG178" i="13"/>
  <c r="BE24" i="28" s="1"/>
  <c r="BA180" i="13"/>
  <c r="AY26" i="28" s="1"/>
  <c r="AN183" i="13"/>
  <c r="AL29" i="28" s="1"/>
  <c r="AP185" i="13"/>
  <c r="AN31" i="28" s="1"/>
  <c r="BI187" i="13"/>
  <c r="BG33" i="28" s="1"/>
  <c r="AM189" i="13"/>
  <c r="AK35"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8" i="28" s="1"/>
  <c r="BI173" i="13"/>
  <c r="BG19" i="28" s="1"/>
  <c r="AT176" i="13"/>
  <c r="AR22" i="28" s="1"/>
  <c r="BH178" i="13"/>
  <c r="BF24" i="28" s="1"/>
  <c r="AR181" i="13"/>
  <c r="AP27" i="28" s="1"/>
  <c r="AO183" i="13"/>
  <c r="AM29" i="28" s="1"/>
  <c r="BF185" i="13"/>
  <c r="BD31" i="28" s="1"/>
  <c r="BJ187" i="13"/>
  <c r="BH33" i="28" s="1"/>
  <c r="AN189" i="13"/>
  <c r="AL35"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8" i="28" s="1"/>
  <c r="AX174" i="13"/>
  <c r="AV20" i="28" s="1"/>
  <c r="AU176" i="13"/>
  <c r="AS22" i="28" s="1"/>
  <c r="BN178" i="13"/>
  <c r="BL24" i="28" s="1"/>
  <c r="AS181" i="13"/>
  <c r="AQ27" i="28" s="1"/>
  <c r="AP183" i="13"/>
  <c r="AN29" i="28" s="1"/>
  <c r="BG185" i="13"/>
  <c r="BE31" i="28" s="1"/>
  <c r="BK187" i="13"/>
  <c r="BI33" i="28" s="1"/>
  <c r="BF189" i="13"/>
  <c r="BD35"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8" i="28" s="1"/>
  <c r="BC174" i="13"/>
  <c r="BA20" i="28" s="1"/>
  <c r="AW176" i="13"/>
  <c r="AU22" i="28" s="1"/>
  <c r="AJ179" i="13"/>
  <c r="AH25" i="28" s="1"/>
  <c r="AX181" i="13"/>
  <c r="AV27" i="28" s="1"/>
  <c r="BN183" i="13"/>
  <c r="BL29" i="28" s="1"/>
  <c r="BH185" i="13"/>
  <c r="BF31" i="28" s="1"/>
  <c r="AQ188" i="13"/>
  <c r="AO34" i="28" s="1"/>
  <c r="BG189" i="13"/>
  <c r="BE35"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9" i="28" s="1"/>
  <c r="AM175" i="13"/>
  <c r="AK21" i="28" s="1"/>
  <c r="BJ177" i="13"/>
  <c r="BH23" i="28" s="1"/>
  <c r="BL179" i="13"/>
  <c r="BJ25" i="28" s="1"/>
  <c r="BE181" i="13"/>
  <c r="BC27" i="28" s="1"/>
  <c r="AS184" i="13"/>
  <c r="AQ30" i="28" s="1"/>
  <c r="BG186" i="13"/>
  <c r="BE32" i="28" s="1"/>
  <c r="BK188" i="13"/>
  <c r="BI34"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8" i="28" s="1"/>
  <c r="AK176" i="13"/>
  <c r="AI22" i="28" s="1"/>
  <c r="BM179" i="13"/>
  <c r="BK25" i="28" s="1"/>
  <c r="AH184" i="13"/>
  <c r="AF30" i="28" s="1"/>
  <c r="AH187" i="13"/>
  <c r="AF33"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6" i="28" s="1"/>
  <c r="BC170" i="13"/>
  <c r="BA16" i="28" s="1"/>
  <c r="BO170" i="13"/>
  <c r="BM16" i="28" s="1"/>
  <c r="Y172" i="13"/>
  <c r="AA18" i="28" s="1"/>
  <c r="Y175" i="13"/>
  <c r="AA21" i="28" s="1"/>
  <c r="Y178" i="13"/>
  <c r="AA24" i="28" s="1"/>
  <c r="Y181" i="13"/>
  <c r="AA27" i="28" s="1"/>
  <c r="Y184" i="13"/>
  <c r="AA30" i="28" s="1"/>
  <c r="Y187" i="13"/>
  <c r="AA33"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8" i="28" s="1"/>
  <c r="AL176" i="13"/>
  <c r="AJ22" i="28" s="1"/>
  <c r="AW180" i="13"/>
  <c r="AU26" i="28" s="1"/>
  <c r="AQ184" i="13"/>
  <c r="AO30" i="28" s="1"/>
  <c r="AS188" i="13"/>
  <c r="AQ34"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6" i="28" s="1"/>
  <c r="BD170" i="13"/>
  <c r="BB16" i="28" s="1"/>
  <c r="AG170" i="13"/>
  <c r="AE16" i="28" s="1"/>
  <c r="Z172" i="13"/>
  <c r="AB18" i="28" s="1"/>
  <c r="Z175" i="13"/>
  <c r="AB21" i="28" s="1"/>
  <c r="Z178" i="13"/>
  <c r="AB24" i="28" s="1"/>
  <c r="Z181" i="13"/>
  <c r="AB27" i="28" s="1"/>
  <c r="Z184" i="13"/>
  <c r="AB30" i="28" s="1"/>
  <c r="Z187" i="13"/>
  <c r="AB33"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8" i="28" s="1"/>
  <c r="AN177" i="13"/>
  <c r="AL23" i="28" s="1"/>
  <c r="AX180" i="13"/>
  <c r="AV26" i="28" s="1"/>
  <c r="AT184" i="13"/>
  <c r="AR30" i="28" s="1"/>
  <c r="AT188" i="13"/>
  <c r="AR34"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6" i="28" s="1"/>
  <c r="BE170" i="13"/>
  <c r="BC16" i="28" s="1"/>
  <c r="AA172" i="13"/>
  <c r="AC18" i="28" s="1"/>
  <c r="AA175" i="13"/>
  <c r="AC21" i="28" s="1"/>
  <c r="AA178" i="13"/>
  <c r="AC24" i="28" s="1"/>
  <c r="AA181" i="13"/>
  <c r="AC27" i="28" s="1"/>
  <c r="AA184" i="13"/>
  <c r="AC30" i="28" s="1"/>
  <c r="AA187" i="13"/>
  <c r="AC33" i="28" s="1"/>
  <c r="AA190" i="13"/>
  <c r="AA193" i="13"/>
  <c r="AA196" i="13"/>
  <c r="AA199" i="13"/>
  <c r="AA202" i="13"/>
  <c r="AA205" i="13"/>
  <c r="AA208" i="13"/>
  <c r="AA211" i="13"/>
  <c r="AA214" i="13"/>
  <c r="AA217" i="13"/>
  <c r="AA220" i="13"/>
  <c r="AA223" i="13"/>
  <c r="AA226" i="13"/>
  <c r="AA229" i="13"/>
  <c r="AA232" i="13"/>
  <c r="AA235" i="13"/>
  <c r="AA238" i="13"/>
  <c r="AA241" i="13"/>
  <c r="AU173" i="13"/>
  <c r="AS19" i="28" s="1"/>
  <c r="AO177" i="13"/>
  <c r="AM23" i="28" s="1"/>
  <c r="AY180" i="13"/>
  <c r="AW26" i="28" s="1"/>
  <c r="AU184" i="13"/>
  <c r="AS30" i="28" s="1"/>
  <c r="AU188" i="13"/>
  <c r="AS34"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6" i="28" s="1"/>
  <c r="AT170" i="13"/>
  <c r="AR16" i="28" s="1"/>
  <c r="BF170" i="13"/>
  <c r="BD16" i="28" s="1"/>
  <c r="AB172" i="13"/>
  <c r="AD18" i="28" s="1"/>
  <c r="AB175" i="13"/>
  <c r="AD21" i="28" s="1"/>
  <c r="AB178" i="13"/>
  <c r="AD24" i="28" s="1"/>
  <c r="AB181" i="13"/>
  <c r="AD27" i="28" s="1"/>
  <c r="AB184" i="13"/>
  <c r="AD30" i="28" s="1"/>
  <c r="AB187" i="13"/>
  <c r="AD33"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20" i="28" s="1"/>
  <c r="BM177" i="13"/>
  <c r="BK23" i="28" s="1"/>
  <c r="AZ182" i="13"/>
  <c r="AX28" i="28" s="1"/>
  <c r="BD186" i="13"/>
  <c r="BB32" i="28" s="1"/>
  <c r="AL189" i="13"/>
  <c r="AJ35"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6" i="28" s="1"/>
  <c r="AX170" i="13"/>
  <c r="AV16" i="28" s="1"/>
  <c r="BJ170" i="13"/>
  <c r="BH16" i="28" s="1"/>
  <c r="AB173" i="13"/>
  <c r="AD19" i="28" s="1"/>
  <c r="AB176" i="13"/>
  <c r="AD22" i="28" s="1"/>
  <c r="AB179" i="13"/>
  <c r="AD25" i="28" s="1"/>
  <c r="AB182" i="13"/>
  <c r="AD28" i="28" s="1"/>
  <c r="AB185" i="13"/>
  <c r="AD31" i="28" s="1"/>
  <c r="AB188" i="13"/>
  <c r="AD34"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9" i="28" s="1"/>
  <c r="AL179" i="13"/>
  <c r="AJ25" i="28" s="1"/>
  <c r="BE186" i="13"/>
  <c r="BC32"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6" i="28" s="1"/>
  <c r="BG170" i="13"/>
  <c r="BE16" i="28" s="1"/>
  <c r="AA17" i="28"/>
  <c r="Z176" i="13"/>
  <c r="AB22" i="28" s="1"/>
  <c r="AB180" i="13"/>
  <c r="AD26" i="28" s="1"/>
  <c r="Z186" i="13"/>
  <c r="AB32" i="28" s="1"/>
  <c r="AA191" i="13"/>
  <c r="Y197" i="13"/>
  <c r="AA201" i="13"/>
  <c r="Y207" i="13"/>
  <c r="Z212" i="13"/>
  <c r="AB216" i="13"/>
  <c r="Z222" i="13"/>
  <c r="AA227" i="13"/>
  <c r="Y233" i="13"/>
  <c r="AA237" i="13"/>
  <c r="Y243" i="13"/>
  <c r="AA247" i="13"/>
  <c r="Y252" i="13"/>
  <c r="AA256" i="13"/>
  <c r="Y261" i="13"/>
  <c r="AA265" i="13"/>
  <c r="Z170" i="13"/>
  <c r="AB16"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9" i="28" s="1"/>
  <c r="M195" i="13"/>
  <c r="M207" i="13"/>
  <c r="M219" i="13"/>
  <c r="M231" i="13"/>
  <c r="M243" i="13"/>
  <c r="M255" i="13"/>
  <c r="M267" i="13"/>
  <c r="L179" i="13"/>
  <c r="Q25" i="28" s="1"/>
  <c r="L191" i="13"/>
  <c r="L203" i="13"/>
  <c r="L215" i="13"/>
  <c r="L227" i="13"/>
  <c r="L239" i="13"/>
  <c r="L251" i="13"/>
  <c r="L263" i="13"/>
  <c r="BF173" i="13"/>
  <c r="BD19" i="28" s="1"/>
  <c r="BJ179" i="13"/>
  <c r="BH25" i="28" s="1"/>
  <c r="BJ186" i="13"/>
  <c r="BH32"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6" i="28" s="1"/>
  <c r="BH170" i="13"/>
  <c r="BF16" i="28" s="1"/>
  <c r="AB17" i="28"/>
  <c r="AA176" i="13"/>
  <c r="AC22" i="28" s="1"/>
  <c r="Y182" i="13"/>
  <c r="AA28" i="28" s="1"/>
  <c r="AA186" i="13"/>
  <c r="AC32" i="28" s="1"/>
  <c r="Y192" i="13"/>
  <c r="Z197" i="13"/>
  <c r="AB201" i="13"/>
  <c r="Z207" i="13"/>
  <c r="AA212" i="13"/>
  <c r="Y218" i="13"/>
  <c r="AA222" i="13"/>
  <c r="Y228" i="13"/>
  <c r="Z233" i="13"/>
  <c r="AB237" i="13"/>
  <c r="BG173" i="13"/>
  <c r="BE19" i="28" s="1"/>
  <c r="BB181" i="13"/>
  <c r="AZ27" i="28" s="1"/>
  <c r="BO186" i="13"/>
  <c r="BM32"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1" i="28" s="1"/>
  <c r="BC181" i="13"/>
  <c r="BA27" i="28" s="1"/>
  <c r="AG187" i="13"/>
  <c r="AE33"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6" i="28" s="1"/>
  <c r="BK170" i="13"/>
  <c r="BI16" i="28" s="1"/>
  <c r="AD17" i="28"/>
  <c r="Z177" i="13"/>
  <c r="AB23" i="28" s="1"/>
  <c r="AA182" i="13"/>
  <c r="AC28" i="28" s="1"/>
  <c r="Y188" i="13"/>
  <c r="AA34" i="28" s="1"/>
  <c r="AA192" i="13"/>
  <c r="Y198" i="13"/>
  <c r="Z203" i="13"/>
  <c r="AB207" i="13"/>
  <c r="Z213" i="13"/>
  <c r="AA218" i="13"/>
  <c r="Y224" i="13"/>
  <c r="AA228" i="13"/>
  <c r="Y234" i="13"/>
  <c r="Z239" i="13"/>
  <c r="AB243" i="13"/>
  <c r="AA248" i="13"/>
  <c r="AB252" i="13"/>
  <c r="AA257" i="13"/>
  <c r="AB261" i="13"/>
  <c r="AA266" i="13"/>
  <c r="Y170" i="13"/>
  <c r="AA16"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20" i="28" s="1"/>
  <c r="M186" i="13"/>
  <c r="R32" i="28" s="1"/>
  <c r="M198" i="13"/>
  <c r="M210" i="13"/>
  <c r="M222" i="13"/>
  <c r="M234" i="13"/>
  <c r="M246" i="13"/>
  <c r="M258" i="13"/>
  <c r="M170" i="13"/>
  <c r="R16" i="28" s="1"/>
  <c r="L182" i="13"/>
  <c r="Q28" i="28" s="1"/>
  <c r="L194" i="13"/>
  <c r="L206" i="13"/>
  <c r="L218" i="13"/>
  <c r="L230" i="13"/>
  <c r="L242" i="13"/>
  <c r="L254" i="13"/>
  <c r="L266" i="13"/>
  <c r="K178" i="13"/>
  <c r="P24" i="28" s="1"/>
  <c r="K190" i="13"/>
  <c r="K202" i="13"/>
  <c r="K214" i="13"/>
  <c r="K226" i="13"/>
  <c r="K238" i="13"/>
  <c r="K250" i="13"/>
  <c r="K262" i="13"/>
  <c r="I174" i="13"/>
  <c r="O20" i="28" s="1"/>
  <c r="I186" i="13"/>
  <c r="O32" i="28" s="1"/>
  <c r="I198" i="13"/>
  <c r="I210" i="13"/>
  <c r="I222" i="13"/>
  <c r="I234" i="13"/>
  <c r="I246" i="13"/>
  <c r="I258" i="13"/>
  <c r="F179" i="13"/>
  <c r="N25" i="28" s="1"/>
  <c r="F191" i="13"/>
  <c r="F203" i="13"/>
  <c r="F215" i="13"/>
  <c r="F227" i="13"/>
  <c r="F239" i="13"/>
  <c r="F251" i="13"/>
  <c r="F263" i="13"/>
  <c r="AT177" i="13"/>
  <c r="AR23" i="28" s="1"/>
  <c r="AI183" i="13"/>
  <c r="AG29" i="28" s="1"/>
  <c r="BH189" i="13"/>
  <c r="BF35"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6" i="28" s="1"/>
  <c r="Y174" i="13"/>
  <c r="AA20" i="28" s="1"/>
  <c r="Z179" i="13"/>
  <c r="AB25" i="28" s="1"/>
  <c r="AB183" i="13"/>
  <c r="AD29" i="28" s="1"/>
  <c r="Z189" i="13"/>
  <c r="AB35"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1" i="28" s="1"/>
  <c r="AK185" i="13"/>
  <c r="AI31"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6" i="28" s="1"/>
  <c r="AC17" i="28"/>
  <c r="AA179" i="13"/>
  <c r="AC25" i="28" s="1"/>
  <c r="AB186" i="13"/>
  <c r="AD32"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2" i="28" s="1"/>
  <c r="M190" i="13"/>
  <c r="M204" i="13"/>
  <c r="M218" i="13"/>
  <c r="M233" i="13"/>
  <c r="M248" i="13"/>
  <c r="M262" i="13"/>
  <c r="L176" i="13"/>
  <c r="Q22" i="28" s="1"/>
  <c r="L190" i="13"/>
  <c r="L205" i="13"/>
  <c r="L220" i="13"/>
  <c r="L234" i="13"/>
  <c r="L248" i="13"/>
  <c r="L262" i="13"/>
  <c r="K176" i="13"/>
  <c r="P22" i="28" s="1"/>
  <c r="K189" i="13"/>
  <c r="P35" i="28" s="1"/>
  <c r="K203" i="13"/>
  <c r="K216" i="13"/>
  <c r="K229" i="13"/>
  <c r="K242" i="13"/>
  <c r="K255" i="13"/>
  <c r="K268" i="13"/>
  <c r="I181" i="13"/>
  <c r="O27" i="28" s="1"/>
  <c r="I194" i="13"/>
  <c r="I207" i="13"/>
  <c r="I220" i="13"/>
  <c r="I233" i="13"/>
  <c r="I247" i="13"/>
  <c r="I260" i="13"/>
  <c r="F183" i="13"/>
  <c r="N29" i="28" s="1"/>
  <c r="F196" i="13"/>
  <c r="F209" i="13"/>
  <c r="F222" i="13"/>
  <c r="F235" i="13"/>
  <c r="F248" i="13"/>
  <c r="F261" i="13"/>
  <c r="AR175" i="13"/>
  <c r="AP21" i="28" s="1"/>
  <c r="BI185" i="13"/>
  <c r="BG31"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6" i="28" s="1"/>
  <c r="Y173" i="13"/>
  <c r="AA19" i="28" s="1"/>
  <c r="Y180" i="13"/>
  <c r="AA26" i="28" s="1"/>
  <c r="Z188" i="13"/>
  <c r="AB34"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3" i="28" s="1"/>
  <c r="M191" i="13"/>
  <c r="M205" i="13"/>
  <c r="M220" i="13"/>
  <c r="M235" i="13"/>
  <c r="M249" i="13"/>
  <c r="M263" i="13"/>
  <c r="L177" i="13"/>
  <c r="Q23" i="28" s="1"/>
  <c r="L192" i="13"/>
  <c r="L207" i="13"/>
  <c r="L221" i="13"/>
  <c r="L235" i="13"/>
  <c r="L249" i="13"/>
  <c r="L264" i="13"/>
  <c r="K177" i="13"/>
  <c r="P23" i="28" s="1"/>
  <c r="K191" i="13"/>
  <c r="K204" i="13"/>
  <c r="K217" i="13"/>
  <c r="K230" i="13"/>
  <c r="K243" i="13"/>
  <c r="K256" i="13"/>
  <c r="K269" i="13"/>
  <c r="I182" i="13"/>
  <c r="O28" i="28" s="1"/>
  <c r="I195" i="13"/>
  <c r="I208" i="13"/>
  <c r="I221" i="13"/>
  <c r="I235" i="13"/>
  <c r="I248" i="13"/>
  <c r="I261" i="13"/>
  <c r="F184" i="13"/>
  <c r="N30" i="28" s="1"/>
  <c r="F197" i="13"/>
  <c r="F210" i="13"/>
  <c r="F223" i="13"/>
  <c r="F236" i="13"/>
  <c r="F249" i="13"/>
  <c r="F262" i="13"/>
  <c r="AI176" i="13"/>
  <c r="AG22" i="28" s="1"/>
  <c r="BL188" i="13"/>
  <c r="BJ34"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6" i="28" s="1"/>
  <c r="Z173" i="13"/>
  <c r="AB19" i="28" s="1"/>
  <c r="Z180" i="13"/>
  <c r="AB26" i="28" s="1"/>
  <c r="AA188" i="13"/>
  <c r="AC34"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4" i="28" s="1"/>
  <c r="M192" i="13"/>
  <c r="M206" i="13"/>
  <c r="M221" i="13"/>
  <c r="M236" i="13"/>
  <c r="M250" i="13"/>
  <c r="M264" i="13"/>
  <c r="L178" i="13"/>
  <c r="Q24" i="28" s="1"/>
  <c r="L193" i="13"/>
  <c r="L208" i="13"/>
  <c r="L222" i="13"/>
  <c r="L236" i="13"/>
  <c r="L250" i="13"/>
  <c r="L265" i="13"/>
  <c r="K179" i="13"/>
  <c r="P25" i="28" s="1"/>
  <c r="K192" i="13"/>
  <c r="K205" i="13"/>
  <c r="K218" i="13"/>
  <c r="K231" i="13"/>
  <c r="K244" i="13"/>
  <c r="K257" i="13"/>
  <c r="K170" i="13"/>
  <c r="P16" i="28" s="1"/>
  <c r="I183" i="13"/>
  <c r="O29" i="28" s="1"/>
  <c r="I196" i="13"/>
  <c r="I209" i="13"/>
  <c r="I223" i="13"/>
  <c r="I236" i="13"/>
  <c r="I249" i="13"/>
  <c r="I262" i="13"/>
  <c r="F172" i="13"/>
  <c r="N18" i="28" s="1"/>
  <c r="F185" i="13"/>
  <c r="N31" i="28" s="1"/>
  <c r="F198" i="13"/>
  <c r="F211" i="13"/>
  <c r="F224" i="13"/>
  <c r="F237" i="13"/>
  <c r="F250" i="13"/>
  <c r="F264" i="13"/>
  <c r="C23" i="10"/>
  <c r="BK177" i="13"/>
  <c r="BI23" i="28" s="1"/>
  <c r="BN188" i="13"/>
  <c r="BL34"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6" i="28" s="1"/>
  <c r="AA173" i="13"/>
  <c r="AC19" i="28" s="1"/>
  <c r="AA180" i="13"/>
  <c r="AC26" i="28" s="1"/>
  <c r="Y189" i="13"/>
  <c r="AA35"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5" i="28" s="1"/>
  <c r="M193" i="13"/>
  <c r="M208" i="13"/>
  <c r="M223" i="13"/>
  <c r="M237" i="13"/>
  <c r="M251" i="13"/>
  <c r="M265" i="13"/>
  <c r="L180" i="13"/>
  <c r="Q26" i="28" s="1"/>
  <c r="L195" i="13"/>
  <c r="L209" i="13"/>
  <c r="L223" i="13"/>
  <c r="L237" i="13"/>
  <c r="L252" i="13"/>
  <c r="L267" i="13"/>
  <c r="K180" i="13"/>
  <c r="P26" i="28" s="1"/>
  <c r="K193" i="13"/>
  <c r="K206" i="13"/>
  <c r="K219" i="13"/>
  <c r="K232" i="13"/>
  <c r="K245" i="13"/>
  <c r="K258" i="13"/>
  <c r="I184" i="13"/>
  <c r="O30" i="28" s="1"/>
  <c r="I197" i="13"/>
  <c r="I211" i="13"/>
  <c r="I224" i="13"/>
  <c r="I237" i="13"/>
  <c r="I250" i="13"/>
  <c r="I263" i="13"/>
  <c r="F173" i="13"/>
  <c r="N19" i="28" s="1"/>
  <c r="F186" i="13"/>
  <c r="N32" i="28" s="1"/>
  <c r="F199" i="13"/>
  <c r="F212" i="13"/>
  <c r="F225" i="13"/>
  <c r="F238" i="13"/>
  <c r="F252" i="13"/>
  <c r="F265" i="13"/>
  <c r="BL177" i="13"/>
  <c r="BJ23" i="28" s="1"/>
  <c r="AK189" i="13"/>
  <c r="AI35"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6" i="28" s="1"/>
  <c r="Z174" i="13"/>
  <c r="AB20" i="28" s="1"/>
  <c r="Z182" i="13"/>
  <c r="AB28" i="28" s="1"/>
  <c r="AA189" i="13"/>
  <c r="AC35"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6" i="28" s="1"/>
  <c r="M194" i="13"/>
  <c r="M209" i="13"/>
  <c r="M224" i="13"/>
  <c r="M238" i="13"/>
  <c r="M252" i="13"/>
  <c r="M266" i="13"/>
  <c r="L181" i="13"/>
  <c r="Q27" i="28" s="1"/>
  <c r="L196" i="13"/>
  <c r="L210" i="13"/>
  <c r="L224" i="13"/>
  <c r="L238" i="13"/>
  <c r="L253" i="13"/>
  <c r="L268" i="13"/>
  <c r="K181" i="13"/>
  <c r="P27" i="28" s="1"/>
  <c r="K194" i="13"/>
  <c r="K207" i="13"/>
  <c r="K220" i="13"/>
  <c r="K233" i="13"/>
  <c r="K246" i="13"/>
  <c r="K259" i="13"/>
  <c r="I172" i="13"/>
  <c r="O18" i="28" s="1"/>
  <c r="I185" i="13"/>
  <c r="O31" i="28" s="1"/>
  <c r="I199" i="13"/>
  <c r="I212" i="13"/>
  <c r="I225" i="13"/>
  <c r="I238" i="13"/>
  <c r="I251" i="13"/>
  <c r="I264" i="13"/>
  <c r="F174" i="13"/>
  <c r="N20" i="28" s="1"/>
  <c r="F187" i="13"/>
  <c r="N33"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6" i="28" s="1"/>
  <c r="BM170" i="13"/>
  <c r="BK16" i="28" s="1"/>
  <c r="AA174" i="13"/>
  <c r="AC20" i="28" s="1"/>
  <c r="Y183" i="13"/>
  <c r="AA29" i="28" s="1"/>
  <c r="AB189" i="13"/>
  <c r="AD35" i="28" s="1"/>
  <c r="Z198" i="13"/>
  <c r="Y206" i="13"/>
  <c r="AA213" i="13"/>
  <c r="Z221" i="13"/>
  <c r="AB228" i="13"/>
  <c r="AA236" i="13"/>
  <c r="BD181" i="13"/>
  <c r="BB27"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6" i="28" s="1"/>
  <c r="Y176" i="13"/>
  <c r="AA22" i="28" s="1"/>
  <c r="AA183" i="13"/>
  <c r="AC29"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30" i="28" s="1"/>
  <c r="M199" i="13"/>
  <c r="M213" i="13"/>
  <c r="M227" i="13"/>
  <c r="M241" i="13"/>
  <c r="M256" i="13"/>
  <c r="L185" i="13"/>
  <c r="Q31" i="28" s="1"/>
  <c r="L199" i="13"/>
  <c r="L213" i="13"/>
  <c r="L228" i="13"/>
  <c r="L243" i="13"/>
  <c r="L257" i="13"/>
  <c r="K184" i="13"/>
  <c r="P30" i="28" s="1"/>
  <c r="K197" i="13"/>
  <c r="K210" i="13"/>
  <c r="K223" i="13"/>
  <c r="K236" i="13"/>
  <c r="K249" i="13"/>
  <c r="K263" i="13"/>
  <c r="I176" i="13"/>
  <c r="O22" i="28" s="1"/>
  <c r="I189" i="13"/>
  <c r="O35" i="28" s="1"/>
  <c r="I202" i="13"/>
  <c r="I215" i="13"/>
  <c r="I228" i="13"/>
  <c r="I241" i="13"/>
  <c r="I254" i="13"/>
  <c r="I267" i="13"/>
  <c r="F177" i="13"/>
  <c r="N23" i="28" s="1"/>
  <c r="F190" i="13"/>
  <c r="F204" i="13"/>
  <c r="F217" i="13"/>
  <c r="F230" i="13"/>
  <c r="F243" i="13"/>
  <c r="F256" i="13"/>
  <c r="F269" i="13"/>
  <c r="F244" i="13"/>
  <c r="F218" i="13"/>
  <c r="F192" i="13"/>
  <c r="I268" i="13"/>
  <c r="I242" i="13"/>
  <c r="I216" i="13"/>
  <c r="I190" i="13"/>
  <c r="K264" i="13"/>
  <c r="K237" i="13"/>
  <c r="K211" i="13"/>
  <c r="K185" i="13"/>
  <c r="P31" i="28" s="1"/>
  <c r="L258" i="13"/>
  <c r="L229" i="13"/>
  <c r="L200" i="13"/>
  <c r="L172" i="13"/>
  <c r="Q18" i="28" s="1"/>
  <c r="M242" i="13"/>
  <c r="M214" i="13"/>
  <c r="M185" i="13"/>
  <c r="R31"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9" i="28" s="1"/>
  <c r="AY170" i="13"/>
  <c r="AW16" i="28" s="1"/>
  <c r="AY268" i="13"/>
  <c r="AS266" i="13"/>
  <c r="AR263" i="13"/>
  <c r="AP260" i="13"/>
  <c r="BA256" i="13"/>
  <c r="AZ253" i="13"/>
  <c r="BG250" i="13"/>
  <c r="AJ247" i="13"/>
  <c r="AK244" i="13"/>
  <c r="AP240" i="13"/>
  <c r="AV236" i="13"/>
  <c r="BD232" i="13"/>
  <c r="AT227" i="13"/>
  <c r="AL222" i="13"/>
  <c r="BM211" i="13"/>
  <c r="AG200" i="13"/>
  <c r="BA182" i="13"/>
  <c r="AY28" i="28" s="1"/>
  <c r="F268" i="13"/>
  <c r="F242" i="13"/>
  <c r="F216" i="13"/>
  <c r="F189" i="13"/>
  <c r="N35" i="28" s="1"/>
  <c r="I266" i="13"/>
  <c r="I240" i="13"/>
  <c r="I214" i="13"/>
  <c r="I188" i="13"/>
  <c r="O34" i="28" s="1"/>
  <c r="K261" i="13"/>
  <c r="K235" i="13"/>
  <c r="K209" i="13"/>
  <c r="K183" i="13"/>
  <c r="P29" i="28" s="1"/>
  <c r="L256" i="13"/>
  <c r="L226" i="13"/>
  <c r="L198" i="13"/>
  <c r="M269" i="13"/>
  <c r="M240" i="13"/>
  <c r="M212" i="13"/>
  <c r="M182" i="13"/>
  <c r="R28"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5" i="28" s="1"/>
  <c r="AV170" i="13"/>
  <c r="AT16" i="28" s="1"/>
  <c r="AX268" i="13"/>
  <c r="BD265" i="13"/>
  <c r="BN262" i="13"/>
  <c r="AM260" i="13"/>
  <c r="AX256" i="13"/>
  <c r="AX253" i="13"/>
  <c r="BL249" i="13"/>
  <c r="BO246" i="13"/>
  <c r="BN243" i="13"/>
  <c r="BL239" i="13"/>
  <c r="AU236" i="13"/>
  <c r="BC231" i="13"/>
  <c r="AG227" i="13"/>
  <c r="AL221" i="13"/>
  <c r="BB211" i="13"/>
  <c r="BO199" i="13"/>
  <c r="AK179" i="13"/>
  <c r="AI25"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F161" i="13" l="1" a="1"/>
  <c r="F161" i="13" s="1"/>
  <c r="F162" i="13" a="1"/>
  <c r="F162" i="13" s="1"/>
  <c r="F163" i="13" a="1"/>
  <c r="F163" i="13" s="1"/>
  <c r="F165" i="13" a="1"/>
  <c r="F165" i="13" s="1"/>
  <c r="M295" i="13"/>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F295" i="13" l="1" a="1"/>
  <c r="F295" i="13" s="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7" i="28"/>
  <c r="G18" i="28"/>
  <c r="G19" i="28"/>
  <c r="G20" i="28"/>
  <c r="G21" i="28"/>
  <c r="G22" i="28"/>
  <c r="G23" i="28"/>
  <c r="G24" i="28"/>
  <c r="G25" i="28"/>
  <c r="G26" i="28"/>
  <c r="G27" i="28"/>
  <c r="G28" i="28"/>
  <c r="G29" i="28"/>
  <c r="G30" i="28"/>
  <c r="G31" i="28"/>
  <c r="G32" i="28"/>
  <c r="G33" i="28"/>
  <c r="I17" i="28"/>
  <c r="I18" i="28"/>
  <c r="I19" i="28"/>
  <c r="I20" i="28"/>
  <c r="I21" i="28"/>
  <c r="I22" i="28"/>
  <c r="I23" i="28"/>
  <c r="I24" i="28"/>
  <c r="I25" i="28"/>
  <c r="I26" i="28"/>
  <c r="I27" i="28"/>
  <c r="I28" i="28"/>
  <c r="I29" i="28"/>
  <c r="I30" i="28"/>
  <c r="I31" i="28"/>
  <c r="I32" i="28"/>
  <c r="I33" i="28"/>
  <c r="J17" i="28"/>
  <c r="J18" i="28"/>
  <c r="J19" i="28"/>
  <c r="J20" i="28"/>
  <c r="J21" i="28"/>
  <c r="J22" i="28"/>
  <c r="J23" i="28"/>
  <c r="J24" i="28"/>
  <c r="J25" i="28"/>
  <c r="J26" i="28"/>
  <c r="J27" i="28"/>
  <c r="J28" i="28"/>
  <c r="J29" i="28"/>
  <c r="J30" i="28"/>
  <c r="J31" i="28"/>
  <c r="J32" i="28"/>
  <c r="J33" i="28"/>
  <c r="J16" i="28"/>
  <c r="I16" i="28"/>
  <c r="G16"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1" i="28"/>
  <c r="Z22" i="28"/>
  <c r="Z26" i="28"/>
  <c r="Z31" i="28"/>
  <c r="Z20" i="28"/>
  <c r="Z23" i="28"/>
  <c r="Z29" i="28"/>
  <c r="Z35" i="28"/>
  <c r="Z32" i="28"/>
  <c r="Z33" i="28"/>
  <c r="Z24" i="28"/>
  <c r="Z19" i="28"/>
  <c r="Z28" i="28"/>
  <c r="Z30" i="28"/>
  <c r="Y17" i="28"/>
  <c r="Y29" i="28"/>
  <c r="X25" i="28"/>
  <c r="Z34" i="28"/>
  <c r="Y19" i="28"/>
  <c r="Y31" i="28"/>
  <c r="X27" i="28"/>
  <c r="W23" i="28"/>
  <c r="W35" i="28"/>
  <c r="V19" i="28"/>
  <c r="V31" i="28"/>
  <c r="U27" i="28"/>
  <c r="Y28" i="28"/>
  <c r="X30" i="28"/>
  <c r="W28" i="28"/>
  <c r="V20" i="28"/>
  <c r="V33" i="28"/>
  <c r="U24" i="28"/>
  <c r="S25" i="28"/>
  <c r="T29" i="28"/>
  <c r="W29" i="28"/>
  <c r="V21" i="28"/>
  <c r="V34" i="28"/>
  <c r="U25" i="28"/>
  <c r="S21" i="28"/>
  <c r="T25" i="28"/>
  <c r="S34" i="28"/>
  <c r="Z17" i="28"/>
  <c r="Y30" i="28"/>
  <c r="X17" i="28"/>
  <c r="X31" i="28"/>
  <c r="Z18" i="28"/>
  <c r="Y32" i="28"/>
  <c r="X18" i="28"/>
  <c r="X32" i="28"/>
  <c r="W17" i="28"/>
  <c r="W30" i="28"/>
  <c r="V22" i="28"/>
  <c r="V35" i="28"/>
  <c r="U26" i="28"/>
  <c r="S17" i="28"/>
  <c r="T21" i="28"/>
  <c r="S30" i="28"/>
  <c r="T34" i="28"/>
  <c r="Y24" i="28"/>
  <c r="X21" i="28"/>
  <c r="W33" i="28"/>
  <c r="V18" i="28"/>
  <c r="U23" i="28"/>
  <c r="T20" i="28"/>
  <c r="S27" i="28"/>
  <c r="T32" i="28"/>
  <c r="X22" i="28"/>
  <c r="W34" i="28"/>
  <c r="V23" i="28"/>
  <c r="T27" i="28"/>
  <c r="V25" i="28"/>
  <c r="S28" i="28"/>
  <c r="Y33" i="28"/>
  <c r="X26" i="28"/>
  <c r="S23" i="28"/>
  <c r="S16" i="28"/>
  <c r="T16" i="28"/>
  <c r="Y25" i="28"/>
  <c r="W18" i="28"/>
  <c r="U28" i="28"/>
  <c r="W21" i="28"/>
  <c r="U31" i="28"/>
  <c r="T28" i="28"/>
  <c r="Y34" i="28"/>
  <c r="X28" i="28"/>
  <c r="U32" i="28"/>
  <c r="T35" i="28"/>
  <c r="Z25" i="28"/>
  <c r="Y26" i="28"/>
  <c r="X23" i="28"/>
  <c r="W19" i="28"/>
  <c r="V24" i="28"/>
  <c r="U29" i="28"/>
  <c r="S22" i="28"/>
  <c r="S33" i="28"/>
  <c r="Y27" i="28"/>
  <c r="X24" i="28"/>
  <c r="W20" i="28"/>
  <c r="U30" i="28"/>
  <c r="T22" i="28"/>
  <c r="T33" i="28"/>
  <c r="V26" i="28"/>
  <c r="T17" i="28"/>
  <c r="S35" i="28"/>
  <c r="W22" i="28"/>
  <c r="V27" i="28"/>
  <c r="T23" i="28"/>
  <c r="X19" i="28"/>
  <c r="W31" i="28"/>
  <c r="S26" i="28"/>
  <c r="X20" i="28"/>
  <c r="X34" i="28"/>
  <c r="S31" i="28"/>
  <c r="Y22" i="28"/>
  <c r="Z27" i="28"/>
  <c r="V17" i="28"/>
  <c r="S20" i="28"/>
  <c r="Y35" i="28"/>
  <c r="W25" i="28"/>
  <c r="V29" i="28"/>
  <c r="U34" i="28"/>
  <c r="S24" i="28"/>
  <c r="U35" i="28"/>
  <c r="T24" i="28"/>
  <c r="V32" i="28"/>
  <c r="W32" i="28"/>
  <c r="T26" i="28"/>
  <c r="U19" i="28"/>
  <c r="Y21" i="28"/>
  <c r="X35" i="28"/>
  <c r="T31" i="28"/>
  <c r="W24" i="28"/>
  <c r="W26" i="28"/>
  <c r="W27" i="28"/>
  <c r="X29" i="28"/>
  <c r="U17" i="28"/>
  <c r="S18" i="28"/>
  <c r="S29" i="28"/>
  <c r="Y18" i="28"/>
  <c r="X33" i="28"/>
  <c r="U18" i="28"/>
  <c r="T18" i="28"/>
  <c r="T30" i="28"/>
  <c r="Y20" i="28"/>
  <c r="S19" i="28"/>
  <c r="U20" i="28"/>
  <c r="T19" i="28"/>
  <c r="W16" i="28"/>
  <c r="U21" i="28"/>
  <c r="Y23" i="28"/>
  <c r="U22" i="28"/>
  <c r="S32" i="28"/>
  <c r="V28" i="28"/>
  <c r="U33" i="28"/>
  <c r="V30"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O371" i="13"/>
  <c r="N371" i="13"/>
  <c r="AB128" i="13"/>
  <c r="N349" i="13"/>
  <c r="O349" i="13"/>
  <c r="AB106" i="13"/>
  <c r="N304" i="13"/>
  <c r="M304" i="13"/>
  <c r="F304" i="13" s="1" a="1"/>
  <c r="F304" i="13" s="1"/>
  <c r="BG169" i="13"/>
  <c r="O378" i="13"/>
  <c r="N378" i="13"/>
  <c r="AB135" i="13"/>
  <c r="N342" i="13"/>
  <c r="M342" i="13"/>
  <c r="F342" i="13" s="1" a="1"/>
  <c r="F342" i="13" s="1"/>
  <c r="AB99" i="13"/>
  <c r="N361" i="13"/>
  <c r="O361" i="13"/>
  <c r="AB118" i="13"/>
  <c r="X16" i="28"/>
  <c r="BM169" i="13"/>
  <c r="N319" i="13"/>
  <c r="M319" i="13"/>
  <c r="F319" i="13" s="1" a="1"/>
  <c r="F319" i="13" s="1"/>
  <c r="U16" i="28"/>
  <c r="BN16" i="28" s="1"/>
  <c r="BJ169" i="13"/>
  <c r="N340" i="13"/>
  <c r="M340" i="13"/>
  <c r="F340" i="13" s="1" a="1"/>
  <c r="F340" i="13" s="1"/>
  <c r="M333" i="13"/>
  <c r="F333" i="13" s="1" a="1"/>
  <c r="F333" i="13" s="1"/>
  <c r="N333" i="13"/>
  <c r="N348" i="13"/>
  <c r="O348" i="13"/>
  <c r="AB105" i="13"/>
  <c r="N306" i="13"/>
  <c r="M306" i="13"/>
  <c r="F306" i="13" s="1" a="1"/>
  <c r="F306" i="13" s="1"/>
  <c r="BL169" i="13"/>
  <c r="N366" i="13"/>
  <c r="O366" i="13"/>
  <c r="AB123" i="13"/>
  <c r="BK169" i="13"/>
  <c r="N323" i="13"/>
  <c r="M323" i="13"/>
  <c r="F323" i="13" s="1" a="1"/>
  <c r="F323" i="13" s="1"/>
  <c r="O365" i="13"/>
  <c r="N365" i="13"/>
  <c r="AB122" i="13"/>
  <c r="V16" i="28"/>
  <c r="N312" i="13"/>
  <c r="M312" i="13"/>
  <c r="F312" i="13" s="1" a="1"/>
  <c r="F312" i="13" s="1"/>
  <c r="N350" i="13"/>
  <c r="O350" i="13"/>
  <c r="AB107" i="13"/>
  <c r="M307" i="13"/>
  <c r="F307" i="13" s="1" a="1"/>
  <c r="F307" i="13"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N309" i="13"/>
  <c r="N360" i="13"/>
  <c r="O360" i="13"/>
  <c r="AB117" i="13"/>
  <c r="N293" i="13"/>
  <c r="M293" i="13"/>
  <c r="F293" i="13" s="1" a="1"/>
  <c r="F293" i="13"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N308" i="13"/>
  <c r="Z16" i="28"/>
  <c r="N292" i="13"/>
  <c r="M292" i="13"/>
  <c r="F292" i="13" s="1" a="1"/>
  <c r="F292" i="13" s="1"/>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6"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N302" i="13"/>
  <c r="N364" i="13"/>
  <c r="O364" i="13"/>
  <c r="AB121" i="13"/>
  <c r="N363" i="13"/>
  <c r="O363" i="13"/>
  <c r="AB120" i="13"/>
  <c r="N299" i="13"/>
  <c r="M299" i="13"/>
  <c r="F299" i="13" s="1" a="1"/>
  <c r="F299" i="13" s="1"/>
  <c r="O389" i="13"/>
  <c r="N389" i="13"/>
  <c r="AB146" i="13"/>
  <c r="O359" i="13"/>
  <c r="N359" i="13"/>
  <c r="AB116" i="13"/>
  <c r="M298" i="13"/>
  <c r="N298" i="13"/>
  <c r="N311" i="13"/>
  <c r="M311" i="13"/>
  <c r="F311" i="13" s="1" a="1"/>
  <c r="F311" i="13" s="1"/>
  <c r="M301" i="13"/>
  <c r="F301" i="13" s="1" a="1"/>
  <c r="F301" i="13"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N337" i="13"/>
  <c r="M337" i="13"/>
  <c r="F337" i="13" s="1" a="1"/>
  <c r="F337" i="13" s="1"/>
  <c r="N300" i="13"/>
  <c r="M300" i="13"/>
  <c r="F300" i="13" s="1" a="1"/>
  <c r="F300" i="13" s="1"/>
  <c r="N297" i="13"/>
  <c r="M297" i="13"/>
  <c r="F297" i="13" s="1" a="1"/>
  <c r="F297" i="13" s="1"/>
  <c r="BQ22" i="28" s="1"/>
  <c r="N379" i="13"/>
  <c r="O379" i="13"/>
  <c r="AB136" i="13"/>
  <c r="O357" i="13"/>
  <c r="N357" i="13"/>
  <c r="AB114" i="13"/>
  <c r="N374" i="13"/>
  <c r="O374" i="13"/>
  <c r="AB131" i="13"/>
  <c r="N332" i="13"/>
  <c r="M332" i="13"/>
  <c r="F332" i="13" s="1" a="1"/>
  <c r="F332" i="13" s="1"/>
  <c r="F298" i="13" l="1" a="1"/>
  <c r="F298" i="13" s="1"/>
  <c r="BQ23" i="28" s="1"/>
  <c r="C114" i="10"/>
  <c r="F291" i="13" a="1"/>
  <c r="F291" i="13" s="1"/>
  <c r="C111" i="10"/>
  <c r="F296" i="13" a="1"/>
  <c r="F296" i="13" s="1"/>
  <c r="C109" i="10"/>
  <c r="C103" i="10"/>
  <c r="F294" i="13" a="1"/>
  <c r="F294" i="13" s="1"/>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6"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3" i="28"/>
  <c r="BO33" i="28" s="1"/>
  <c r="D33" i="28"/>
  <c r="C33" i="28"/>
  <c r="BN32" i="28"/>
  <c r="BO32" i="28" s="1"/>
  <c r="BU32" i="28" s="1"/>
  <c r="D32" i="28"/>
  <c r="C32" i="28"/>
  <c r="BN31" i="28"/>
  <c r="BO31" i="28" s="1"/>
  <c r="BU31" i="28" s="1"/>
  <c r="D31" i="28"/>
  <c r="C31" i="28"/>
  <c r="BN30" i="28"/>
  <c r="BO30" i="28" s="1"/>
  <c r="D30" i="28"/>
  <c r="C30" i="28"/>
  <c r="BN29" i="28"/>
  <c r="BO29" i="28" s="1"/>
  <c r="D29" i="28"/>
  <c r="C29" i="28"/>
  <c r="BN28" i="28"/>
  <c r="BO28" i="28" s="1"/>
  <c r="D28" i="28"/>
  <c r="C28" i="28"/>
  <c r="BN27" i="28"/>
  <c r="BO27" i="28" s="1"/>
  <c r="D27" i="28"/>
  <c r="C27" i="28"/>
  <c r="BN26" i="28"/>
  <c r="BO26" i="28" s="1"/>
  <c r="D26" i="28"/>
  <c r="C26" i="28"/>
  <c r="BN25" i="28"/>
  <c r="BO25" i="28" s="1"/>
  <c r="BU25" i="28" s="1"/>
  <c r="D25" i="28"/>
  <c r="C25" i="28"/>
  <c r="BN24" i="28"/>
  <c r="BO24" i="28" s="1"/>
  <c r="D24" i="28"/>
  <c r="C24" i="28"/>
  <c r="BN23" i="28"/>
  <c r="BO23" i="28" s="1"/>
  <c r="D23" i="28"/>
  <c r="C23" i="28"/>
  <c r="BN22" i="28"/>
  <c r="BO22" i="28" s="1"/>
  <c r="D22" i="28"/>
  <c r="C22" i="28"/>
  <c r="BN21" i="28"/>
  <c r="BO21" i="28" s="1"/>
  <c r="BU21" i="28" s="1"/>
  <c r="BN20" i="28"/>
  <c r="BO20" i="28" s="1"/>
  <c r="D20" i="28"/>
  <c r="C20" i="28"/>
  <c r="BN19" i="28"/>
  <c r="BO19" i="28" s="1"/>
  <c r="BU19" i="28" s="1"/>
  <c r="D19" i="28"/>
  <c r="C19" i="28"/>
  <c r="BN18" i="28"/>
  <c r="BO18" i="28" s="1"/>
  <c r="D18" i="28"/>
  <c r="C18" i="28"/>
  <c r="BN17" i="28"/>
  <c r="D17" i="28"/>
  <c r="C17" i="28"/>
  <c r="D16" i="28"/>
  <c r="C16" i="28"/>
  <c r="AB160" i="13" l="1"/>
  <c r="AB159" i="13" s="1"/>
  <c r="BO17" i="28"/>
  <c r="BU17" i="28" s="1"/>
  <c r="BU26" i="28"/>
  <c r="BU23" i="28"/>
  <c r="BU28" i="28"/>
  <c r="BU29" i="28"/>
  <c r="BU27" i="28"/>
  <c r="BU30" i="28"/>
  <c r="BU24" i="28"/>
  <c r="BU18" i="28"/>
  <c r="BU20" i="28"/>
  <c r="BU22" i="28"/>
  <c r="BU33" i="28"/>
  <c r="BN34" i="28"/>
  <c r="BO34" i="28" l="1"/>
  <c r="BU16" i="28"/>
  <c r="BU34" i="28" s="1"/>
  <c r="C41" i="27" l="1"/>
  <c r="I41" i="27" s="1"/>
  <c r="C35" i="27"/>
  <c r="I35" i="27" s="1"/>
  <c r="C19" i="27"/>
  <c r="C18" i="27"/>
  <c r="C17" i="27"/>
  <c r="C13" i="27"/>
  <c r="I40" i="27"/>
  <c r="C25" i="10" l="1"/>
  <c r="D21" i="28" l="1"/>
  <c r="C21"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7" i="28"/>
  <c r="K18"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20" i="28" l="1"/>
  <c r="K21" i="28"/>
  <c r="K22" i="28"/>
  <c r="K23" i="28"/>
  <c r="K24" i="28"/>
  <c r="K25" i="28"/>
  <c r="K26" i="28"/>
  <c r="K27" i="28"/>
  <c r="K28" i="28"/>
  <c r="K29" i="28"/>
  <c r="K30" i="28"/>
  <c r="K31"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K19" i="28"/>
  <c r="D27" i="22"/>
  <c r="C27" i="22"/>
  <c r="E27" i="22"/>
  <c r="D22" i="22"/>
  <c r="D20" i="22"/>
  <c r="E20" i="22"/>
  <c r="D21" i="22"/>
  <c r="D115" i="10"/>
  <c r="D109" i="10"/>
  <c r="D114" i="10"/>
  <c r="D113" i="10"/>
  <c r="D111" i="10"/>
  <c r="C116" i="10"/>
  <c r="D116" i="10" s="1"/>
  <c r="D112" i="10"/>
  <c r="D110" i="10"/>
  <c r="C92" i="10"/>
  <c r="D156" i="13"/>
  <c r="P11" i="28"/>
  <c r="O12" i="28"/>
  <c r="C22" i="22"/>
  <c r="E22" i="22"/>
  <c r="C87" i="10"/>
  <c r="D294" i="13" l="1"/>
  <c r="G31" i="27"/>
  <c r="F156" i="13"/>
  <c r="P12" i="28"/>
  <c r="Q11" i="28"/>
  <c r="C46" i="10"/>
  <c r="B31" i="26"/>
  <c r="I39" i="27"/>
  <c r="C93" i="10"/>
  <c r="D289" i="13" l="1"/>
  <c r="C85" i="10"/>
  <c r="C20" i="22"/>
  <c r="H34" i="22"/>
  <c r="E21" i="22"/>
  <c r="C21" i="22"/>
  <c r="H38" i="22"/>
  <c r="AF29" i="13"/>
  <c r="AD29" i="13"/>
  <c r="C77" i="10"/>
  <c r="F289" i="13"/>
  <c r="G30" i="27" s="1"/>
  <c r="C19" i="22"/>
  <c r="E19" i="22"/>
  <c r="AF28" i="13"/>
  <c r="C86" i="10"/>
  <c r="C14" i="26"/>
  <c r="L3" i="13" s="1"/>
  <c r="I156" i="13"/>
  <c r="Q12" i="28"/>
  <c r="R11" i="28"/>
  <c r="AD30" i="13" l="1"/>
  <c r="C23" i="22" s="1"/>
  <c r="C13" i="22"/>
  <c r="E13" i="22"/>
  <c r="AF30" i="13"/>
  <c r="E23" i="22" s="1"/>
  <c r="R12" i="28"/>
  <c r="S11" i="28"/>
  <c r="P49" i="15"/>
  <c r="P15" i="15" s="1"/>
  <c r="AI158" i="13" l="1"/>
  <c r="K156" i="13"/>
  <c r="S12" i="28"/>
  <c r="T11"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2" i="28"/>
  <c r="U11" i="28"/>
  <c r="D49" i="15"/>
  <c r="D15" i="15" s="1"/>
  <c r="BK166" i="13" l="1"/>
  <c r="BL158" i="13"/>
  <c r="N156" i="13"/>
  <c r="U12" i="28"/>
  <c r="V11" i="28"/>
  <c r="W11" i="28" s="1"/>
  <c r="BK161" i="13" l="1" a="1"/>
  <c r="BK161" i="13" s="1"/>
  <c r="BK163" i="13" a="1"/>
  <c r="BK163" i="13" s="1"/>
  <c r="BK165" i="13" a="1"/>
  <c r="BK165" i="13" s="1"/>
  <c r="BK162" i="13" a="1"/>
  <c r="BK162" i="13" s="1"/>
  <c r="BM158" i="13"/>
  <c r="BL166" i="13"/>
  <c r="O156" i="13"/>
  <c r="W12" i="28"/>
  <c r="X11" i="28"/>
  <c r="V12" i="28"/>
  <c r="D142" i="9"/>
  <c r="BL161" i="13" l="1" a="1"/>
  <c r="BL161" i="13" s="1"/>
  <c r="BL163" i="13" a="1"/>
  <c r="BL163" i="13" s="1"/>
  <c r="BL162" i="13" a="1"/>
  <c r="BL162" i="13" s="1"/>
  <c r="BL165" i="13" a="1"/>
  <c r="BL165" i="13" s="1"/>
  <c r="BM166" i="13"/>
  <c r="BN158" i="13"/>
  <c r="BK160" i="13"/>
  <c r="BK159" i="13" s="1"/>
  <c r="P156" i="13"/>
  <c r="Y11" i="28"/>
  <c r="X12" i="28"/>
  <c r="BM162" i="13" l="1" a="1"/>
  <c r="BM162" i="13" s="1"/>
  <c r="BM163" i="13" a="1"/>
  <c r="BM163" i="13" s="1"/>
  <c r="BM161" i="13" a="1"/>
  <c r="BM161" i="13" s="1"/>
  <c r="BM165" i="13" a="1"/>
  <c r="BM165" i="13" s="1"/>
  <c r="BN166" i="13"/>
  <c r="BO158" i="13"/>
  <c r="BO166" i="13" s="1"/>
  <c r="BL160" i="13"/>
  <c r="BL159" i="13" s="1"/>
  <c r="Z11" i="28"/>
  <c r="Y12"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1" i="28"/>
  <c r="Z12" i="28"/>
  <c r="T156" i="13"/>
  <c r="BN160" i="13" l="1"/>
  <c r="BO160" i="13"/>
  <c r="AB11" i="28"/>
  <c r="AA12" i="28"/>
  <c r="V156" i="13" l="1"/>
  <c r="AB12" i="28"/>
  <c r="AC11" i="28"/>
  <c r="C47" i="10"/>
  <c r="W156" i="13" l="1"/>
  <c r="AD11" i="28"/>
  <c r="AC12" i="28"/>
  <c r="Y156" i="13" l="1"/>
  <c r="AE11" i="28"/>
  <c r="AD12"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2" i="28"/>
  <c r="AF11" i="28"/>
  <c r="E28" i="22"/>
  <c r="AA156" i="13" l="1"/>
  <c r="AF12" i="28"/>
  <c r="AG11" i="28"/>
  <c r="G38" i="22"/>
  <c r="G40" i="22"/>
  <c r="G35" i="22"/>
  <c r="G36" i="22"/>
  <c r="G37" i="22"/>
  <c r="G33" i="22"/>
  <c r="G34" i="22"/>
  <c r="E103" i="10"/>
  <c r="D34" i="22"/>
  <c r="F34" i="22"/>
  <c r="F33" i="22"/>
  <c r="D105" i="10"/>
  <c r="D14" i="26" l="1"/>
  <c r="AG12" i="28"/>
  <c r="AH11" i="28"/>
  <c r="AI11" i="28" l="1"/>
  <c r="AH12" i="28"/>
  <c r="E3" i="10" l="1"/>
  <c r="E3" i="26"/>
  <c r="L3" i="27"/>
  <c r="L278" i="13"/>
  <c r="BR16" i="28"/>
  <c r="I278" i="13"/>
  <c r="K278" i="13"/>
  <c r="F278" i="13"/>
  <c r="G278" i="13"/>
  <c r="J278" i="13"/>
  <c r="AJ11" i="28"/>
  <c r="AI12" i="28"/>
  <c r="P278" i="13"/>
  <c r="Q278" i="13"/>
  <c r="N278" i="13"/>
  <c r="O278" i="13"/>
  <c r="R278" i="13"/>
  <c r="M278" i="13"/>
  <c r="O275" i="13"/>
  <c r="M275" i="13"/>
  <c r="N275" i="13"/>
  <c r="K275" i="13"/>
  <c r="R275" i="13"/>
  <c r="AK11" i="28" l="1"/>
  <c r="AJ12" i="28"/>
  <c r="BT46" i="28"/>
  <c r="BV46" i="28" s="1"/>
  <c r="BT41" i="28"/>
  <c r="BV41" i="28" s="1"/>
  <c r="BP16" i="28"/>
  <c r="H33" i="22"/>
  <c r="AB156" i="13" l="1"/>
  <c r="AL11" i="28"/>
  <c r="AK12" i="28"/>
  <c r="BT16" i="28"/>
  <c r="AG156" i="13" l="1"/>
  <c r="AM11" i="28"/>
  <c r="AL12" i="28"/>
  <c r="E12" i="22"/>
  <c r="E16" i="22" s="1"/>
  <c r="AH156" i="13" l="1"/>
  <c r="AN11" i="28"/>
  <c r="AM12" i="28"/>
  <c r="AI156" i="13" l="1"/>
  <c r="AO11" i="28"/>
  <c r="AN12" i="28"/>
  <c r="AH166" i="13"/>
  <c r="AH162" i="13" l="1" a="1"/>
  <c r="AH162" i="13" s="1"/>
  <c r="AH165" i="13" a="1"/>
  <c r="AH165" i="13" s="1"/>
  <c r="AH163" i="13" a="1"/>
  <c r="AH163" i="13" s="1"/>
  <c r="AH161" i="13" a="1"/>
  <c r="AH161" i="13" s="1"/>
  <c r="AJ156" i="13"/>
  <c r="AP11" i="28"/>
  <c r="AO12" i="28"/>
  <c r="AI166" i="13"/>
  <c r="AI165" i="13" l="1" a="1"/>
  <c r="AI165" i="13" s="1"/>
  <c r="AI162" i="13" a="1"/>
  <c r="AI162" i="13" s="1"/>
  <c r="AI163" i="13" a="1"/>
  <c r="AI163" i="13" s="1"/>
  <c r="AI161" i="13" a="1"/>
  <c r="AI161" i="13" s="1"/>
  <c r="AH160" i="13"/>
  <c r="AK156" i="13"/>
  <c r="AQ11" i="28"/>
  <c r="AP12" i="28"/>
  <c r="AJ166" i="13"/>
  <c r="AJ161" i="13" l="1" a="1"/>
  <c r="AJ161" i="13" s="1"/>
  <c r="AJ163" i="13" a="1"/>
  <c r="AJ163" i="13" s="1"/>
  <c r="AJ165" i="13" a="1"/>
  <c r="AJ165" i="13" s="1"/>
  <c r="AJ162" i="13" a="1"/>
  <c r="AJ162" i="13" s="1"/>
  <c r="AI160" i="13"/>
  <c r="AL156" i="13"/>
  <c r="AH159" i="13"/>
  <c r="AR11" i="28"/>
  <c r="AQ12" i="28"/>
  <c r="AK166" i="13"/>
  <c r="AK162" i="13" l="1" a="1"/>
  <c r="AK162" i="13" s="1"/>
  <c r="AK165" i="13" a="1"/>
  <c r="AK165" i="13" s="1"/>
  <c r="AK161" i="13" a="1"/>
  <c r="AK161" i="13" s="1"/>
  <c r="AK163" i="13" a="1"/>
  <c r="AK163" i="13" s="1"/>
  <c r="AJ160" i="13"/>
  <c r="AM156" i="13"/>
  <c r="AI159" i="13"/>
  <c r="AS11" i="28"/>
  <c r="AT11" i="28" s="1"/>
  <c r="AR12" i="28"/>
  <c r="AL166" i="13"/>
  <c r="AL162" i="13" l="1" a="1"/>
  <c r="AL162" i="13" s="1"/>
  <c r="AL161" i="13" a="1"/>
  <c r="AL161" i="13" s="1"/>
  <c r="AL163" i="13" a="1"/>
  <c r="AL163" i="13" s="1"/>
  <c r="AL165" i="13" a="1"/>
  <c r="AL165" i="13" s="1"/>
  <c r="AK160" i="13"/>
  <c r="AN156" i="13"/>
  <c r="AJ159" i="13"/>
  <c r="AU11" i="28"/>
  <c r="AT12" i="28"/>
  <c r="AS12" i="28"/>
  <c r="AM166" i="13"/>
  <c r="AM162" i="13" l="1" a="1"/>
  <c r="AM162" i="13" s="1"/>
  <c r="AM161" i="13" a="1"/>
  <c r="AM161" i="13" s="1"/>
  <c r="AM163" i="13" a="1"/>
  <c r="AM163" i="13" s="1"/>
  <c r="AM165" i="13" a="1"/>
  <c r="AM165" i="13" s="1"/>
  <c r="AL160" i="13"/>
  <c r="AO156" i="13"/>
  <c r="AK159" i="13"/>
  <c r="AV11" i="28"/>
  <c r="AU12" i="28"/>
  <c r="AN166" i="13"/>
  <c r="AN162" i="13" l="1" a="1"/>
  <c r="AN162" i="13" s="1"/>
  <c r="AN163" i="13" a="1"/>
  <c r="AN163" i="13" s="1"/>
  <c r="AN161" i="13" a="1"/>
  <c r="AN161" i="13" s="1"/>
  <c r="AN165" i="13" a="1"/>
  <c r="AN165" i="13" s="1"/>
  <c r="AM160" i="13"/>
  <c r="AP156" i="13"/>
  <c r="AL159" i="13"/>
  <c r="AW11" i="28"/>
  <c r="AV12" i="28"/>
  <c r="AO166" i="13"/>
  <c r="AO163" i="13" l="1" a="1"/>
  <c r="AO163" i="13" s="1"/>
  <c r="AO161" i="13" a="1"/>
  <c r="AO161" i="13" s="1"/>
  <c r="AO162" i="13" a="1"/>
  <c r="AO162" i="13" s="1"/>
  <c r="AO165" i="13" a="1"/>
  <c r="AO165" i="13" s="1"/>
  <c r="AN160" i="13"/>
  <c r="AQ156" i="13"/>
  <c r="AM159" i="13"/>
  <c r="AX11" i="28"/>
  <c r="AW12" i="28"/>
  <c r="AP166" i="13"/>
  <c r="AP165" i="13" l="1" a="1"/>
  <c r="AP165" i="13" s="1"/>
  <c r="AP163" i="13" a="1"/>
  <c r="AP163" i="13" s="1"/>
  <c r="AP162" i="13" a="1"/>
  <c r="AP162" i="13" s="1"/>
  <c r="AP161" i="13" a="1"/>
  <c r="AP161" i="13" s="1"/>
  <c r="AO160" i="13"/>
  <c r="AR156" i="13"/>
  <c r="AN159" i="13"/>
  <c r="AY11" i="28"/>
  <c r="AX12" i="28"/>
  <c r="AQ166" i="13"/>
  <c r="AQ162" i="13" l="1" a="1"/>
  <c r="AQ162" i="13" s="1"/>
  <c r="AQ165" i="13" a="1"/>
  <c r="AQ165" i="13" s="1"/>
  <c r="AQ163" i="13" a="1"/>
  <c r="AQ163" i="13" s="1"/>
  <c r="AQ161" i="13" a="1"/>
  <c r="AQ161" i="13" s="1"/>
  <c r="AP160" i="13"/>
  <c r="AS156" i="13"/>
  <c r="AO159" i="13"/>
  <c r="AZ11" i="28"/>
  <c r="AY12" i="28"/>
  <c r="AR166" i="13"/>
  <c r="AR162" i="13" l="1" a="1"/>
  <c r="AR162" i="13" s="1"/>
  <c r="AR165" i="13" a="1"/>
  <c r="AR165" i="13" s="1"/>
  <c r="AR161" i="13" a="1"/>
  <c r="AR161" i="13" s="1"/>
  <c r="AR163" i="13" a="1"/>
  <c r="AR163" i="13" s="1"/>
  <c r="AQ160" i="13"/>
  <c r="AT156" i="13"/>
  <c r="AP159" i="13"/>
  <c r="BA11" i="28"/>
  <c r="AZ12" i="28"/>
  <c r="AS166" i="13"/>
  <c r="AS165" i="13" l="1" a="1"/>
  <c r="AS165" i="13" s="1"/>
  <c r="AS162" i="13" a="1"/>
  <c r="AS162" i="13" s="1"/>
  <c r="AS163" i="13" a="1"/>
  <c r="AS163" i="13" s="1"/>
  <c r="AS161" i="13" a="1"/>
  <c r="AS161" i="13" s="1"/>
  <c r="AR160" i="13"/>
  <c r="AU156" i="13"/>
  <c r="AQ159" i="13"/>
  <c r="BB11" i="28"/>
  <c r="BA12" i="28"/>
  <c r="AT166" i="13"/>
  <c r="AT165" i="13" l="1" a="1"/>
  <c r="AT165" i="13" s="1"/>
  <c r="AT162" i="13" a="1"/>
  <c r="AT162" i="13" s="1"/>
  <c r="AT163" i="13" a="1"/>
  <c r="AT163" i="13" s="1"/>
  <c r="AT161" i="13" a="1"/>
  <c r="AT161" i="13" s="1"/>
  <c r="AS160" i="13"/>
  <c r="AV156" i="13"/>
  <c r="AR159" i="13"/>
  <c r="BC11" i="28"/>
  <c r="BB12" i="28"/>
  <c r="AU166" i="13"/>
  <c r="AU163" i="13" l="1" a="1"/>
  <c r="AU163" i="13" s="1"/>
  <c r="AU165" i="13" a="1"/>
  <c r="AU165" i="13" s="1"/>
  <c r="AU162" i="13" a="1"/>
  <c r="AU162" i="13" s="1"/>
  <c r="AU161" i="13" a="1"/>
  <c r="AU161" i="13" s="1"/>
  <c r="AT160" i="13"/>
  <c r="AW156" i="13"/>
  <c r="AS159" i="13"/>
  <c r="BD11" i="28"/>
  <c r="BC12" i="28"/>
  <c r="AV166" i="13"/>
  <c r="AV161" i="13" l="1" a="1"/>
  <c r="AV161" i="13" s="1"/>
  <c r="AV163" i="13" a="1"/>
  <c r="AV163" i="13" s="1"/>
  <c r="AV165" i="13" a="1"/>
  <c r="AV165" i="13" s="1"/>
  <c r="AV162" i="13" a="1"/>
  <c r="AV162" i="13" s="1"/>
  <c r="AU160" i="13"/>
  <c r="AX156" i="13"/>
  <c r="AT159" i="13"/>
  <c r="BE11" i="28"/>
  <c r="BD12" i="28"/>
  <c r="AW166" i="13"/>
  <c r="AW162" i="13" l="1" a="1"/>
  <c r="AW162" i="13" s="1"/>
  <c r="AW161" i="13" a="1"/>
  <c r="AW161" i="13" s="1"/>
  <c r="AW165" i="13" a="1"/>
  <c r="AW165" i="13" s="1"/>
  <c r="AW163" i="13" a="1"/>
  <c r="AW163" i="13" s="1"/>
  <c r="AV160" i="13"/>
  <c r="AY156" i="13"/>
  <c r="AU159" i="13"/>
  <c r="BF11" i="28"/>
  <c r="BE12" i="28"/>
  <c r="AX166" i="13"/>
  <c r="AX162" i="13" l="1" a="1"/>
  <c r="AX162" i="13" s="1"/>
  <c r="AX161" i="13" a="1"/>
  <c r="AX161" i="13" s="1"/>
  <c r="AX165" i="13" a="1"/>
  <c r="AX165" i="13" s="1"/>
  <c r="AX163" i="13" a="1"/>
  <c r="AX163" i="13" s="1"/>
  <c r="AW160" i="13"/>
  <c r="AZ156" i="13"/>
  <c r="AV159" i="13"/>
  <c r="BG11" i="28"/>
  <c r="BF12" i="28"/>
  <c r="AY166" i="13"/>
  <c r="AY165" i="13" l="1" a="1"/>
  <c r="AY165" i="13" s="1"/>
  <c r="AY162" i="13" a="1"/>
  <c r="AY162" i="13" s="1"/>
  <c r="AY161" i="13" a="1"/>
  <c r="AY161" i="13" s="1"/>
  <c r="AY163" i="13" a="1"/>
  <c r="AY163" i="13" s="1"/>
  <c r="AX160" i="13"/>
  <c r="BA156" i="13"/>
  <c r="AW159" i="13"/>
  <c r="BH11" i="28"/>
  <c r="BG12" i="28"/>
  <c r="AZ166" i="13"/>
  <c r="AZ163" i="13" l="1" a="1"/>
  <c r="AZ163" i="13" s="1"/>
  <c r="AZ162" i="13" a="1"/>
  <c r="AZ162" i="13" s="1"/>
  <c r="AZ161" i="13" a="1"/>
  <c r="AZ161" i="13" s="1"/>
  <c r="AZ165" i="13" a="1"/>
  <c r="AZ165" i="13" s="1"/>
  <c r="AY160" i="13"/>
  <c r="BB156" i="13"/>
  <c r="AX159" i="13"/>
  <c r="BI11" i="28"/>
  <c r="BH12" i="28"/>
  <c r="BA166" i="13"/>
  <c r="BA161" i="13" l="1" a="1"/>
  <c r="BA161" i="13" s="1"/>
  <c r="BA163" i="13" a="1"/>
  <c r="BA163" i="13" s="1"/>
  <c r="BA162" i="13" a="1"/>
  <c r="BA162" i="13" s="1"/>
  <c r="BA165" i="13" a="1"/>
  <c r="BA165" i="13" s="1"/>
  <c r="AZ160" i="13"/>
  <c r="BC156" i="13"/>
  <c r="AY159" i="13"/>
  <c r="BJ11" i="28"/>
  <c r="BI12" i="28"/>
  <c r="BB166" i="13"/>
  <c r="BB161" i="13" l="1" a="1"/>
  <c r="BB161" i="13" s="1"/>
  <c r="BB162" i="13" a="1"/>
  <c r="BB162" i="13" s="1"/>
  <c r="BB163" i="13" a="1"/>
  <c r="BB163" i="13" s="1"/>
  <c r="BB165" i="13" a="1"/>
  <c r="BB165" i="13" s="1"/>
  <c r="BA160" i="13"/>
  <c r="BD156" i="13"/>
  <c r="AZ159" i="13"/>
  <c r="BK11" i="28"/>
  <c r="BJ12" i="28"/>
  <c r="BB160" i="13" l="1"/>
  <c r="BE156" i="13"/>
  <c r="BA159" i="13"/>
  <c r="BL11" i="28"/>
  <c r="BK12" i="28"/>
  <c r="BC166" i="13"/>
  <c r="BC165" i="13" l="1" a="1"/>
  <c r="BC165" i="13" s="1"/>
  <c r="BC162" i="13" a="1"/>
  <c r="BC162" i="13" s="1"/>
  <c r="BC161" i="13" a="1"/>
  <c r="BC161" i="13" s="1"/>
  <c r="BC163" i="13" a="1"/>
  <c r="BC163" i="13" s="1"/>
  <c r="BF156" i="13"/>
  <c r="BB159" i="13"/>
  <c r="BM11" i="28"/>
  <c r="BM12" i="28" s="1"/>
  <c r="BL12"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1" i="28" l="1"/>
  <c r="BP33" i="28"/>
  <c r="BT33" i="28" s="1"/>
  <c r="BP22" i="28"/>
  <c r="BT22" i="28" s="1"/>
  <c r="BR22" i="28"/>
  <c r="BR20" i="28"/>
  <c r="BR25" i="28"/>
  <c r="BR30" i="28"/>
  <c r="BP23" i="28"/>
  <c r="BT23" i="28" s="1"/>
  <c r="BP25" i="28"/>
  <c r="BT25" i="28" s="1"/>
  <c r="BR24" i="28"/>
  <c r="BR29" i="28"/>
  <c r="BP27" i="28"/>
  <c r="BT27" i="28" s="1"/>
  <c r="BR33" i="28"/>
  <c r="BR23" i="28"/>
  <c r="BR18" i="28"/>
  <c r="BR27" i="28"/>
  <c r="BP20" i="28"/>
  <c r="BT20" i="28" s="1"/>
  <c r="BR19" i="28"/>
  <c r="BP31" i="28"/>
  <c r="BT31" i="28" s="1"/>
  <c r="BR26" i="28"/>
  <c r="BP26" i="28"/>
  <c r="BT26" i="28" s="1"/>
  <c r="BP29" i="28"/>
  <c r="BT29" i="28" s="1"/>
  <c r="BR32" i="28"/>
  <c r="BP30" i="28"/>
  <c r="BT30" i="28" s="1"/>
  <c r="C32" i="27" l="1"/>
  <c r="BR17" i="28"/>
  <c r="AE28" i="13"/>
  <c r="D12" i="22" s="1"/>
  <c r="D16" i="22" s="1"/>
  <c r="AD28" i="13"/>
  <c r="C12" i="22" s="1"/>
  <c r="C16" i="22" s="1"/>
  <c r="D33" i="22"/>
  <c r="BP17" i="28"/>
  <c r="BP28" i="28"/>
  <c r="BT28" i="28" s="1"/>
  <c r="BR28" i="28"/>
  <c r="BP21" i="28"/>
  <c r="BT21" i="28" s="1"/>
  <c r="BR21" i="28"/>
  <c r="E99" i="10"/>
  <c r="BP19" i="28"/>
  <c r="BT19" i="28" s="1"/>
  <c r="BP32" i="28"/>
  <c r="BT32" i="28" s="1"/>
  <c r="BP24" i="28"/>
  <c r="BT24" i="28" s="1"/>
  <c r="BP18" i="28"/>
  <c r="BT18" i="28" s="1"/>
  <c r="B52" i="31" l="1"/>
  <c r="D288" i="13" s="1"/>
  <c r="E98" i="10"/>
  <c r="C31" i="27"/>
  <c r="I31" i="27" s="1"/>
  <c r="BP34" i="28"/>
  <c r="BT17" i="28"/>
  <c r="BT34" i="28" s="1"/>
  <c r="BG43" i="28"/>
  <c r="AP43" i="28"/>
  <c r="X38" i="28"/>
  <c r="BG48" i="28"/>
  <c r="BC48" i="28"/>
  <c r="AC48" i="28"/>
  <c r="BI48" i="28"/>
  <c r="Y38" i="28"/>
  <c r="T43" i="28"/>
  <c r="R48" i="28"/>
  <c r="AV38" i="28"/>
  <c r="Q48" i="28"/>
  <c r="AS48" i="28"/>
  <c r="P48" i="28"/>
  <c r="W48" i="28"/>
  <c r="AB38" i="28"/>
  <c r="AG43" i="28"/>
  <c r="AM38" i="28"/>
  <c r="AR43" i="28"/>
  <c r="AO38" i="28"/>
  <c r="BE48" i="28"/>
  <c r="AQ38" i="28"/>
  <c r="Q38" i="28"/>
  <c r="BD38" i="28"/>
  <c r="T48" i="28"/>
  <c r="BB38" i="28"/>
  <c r="V48" i="28"/>
  <c r="AQ43" i="28"/>
  <c r="AD38" i="28"/>
  <c r="AQ48" i="28"/>
  <c r="S43" i="28"/>
  <c r="Z48" i="28"/>
  <c r="AP38" i="28"/>
  <c r="AW38" i="28"/>
  <c r="AK43" i="28"/>
  <c r="BB43" i="28"/>
  <c r="AZ48" i="28"/>
  <c r="O43" i="28"/>
  <c r="AI48" i="28"/>
  <c r="S48" i="28"/>
  <c r="AG38" i="28"/>
  <c r="AI38" i="28"/>
  <c r="AL48" i="28"/>
  <c r="AJ43" i="28"/>
  <c r="AN43" i="28"/>
  <c r="AS38" i="28"/>
  <c r="AZ38" i="28"/>
  <c r="AT48" i="28"/>
  <c r="BA38" i="28"/>
  <c r="BM38" i="28"/>
  <c r="BA48" i="28"/>
  <c r="AW48" i="28"/>
  <c r="U43" i="28"/>
  <c r="BL48" i="28"/>
  <c r="BJ43" i="28"/>
  <c r="O38" i="28"/>
  <c r="BH38" i="28"/>
  <c r="N48" i="28"/>
  <c r="BH43" i="28"/>
  <c r="AB43" i="28"/>
  <c r="U38" i="28"/>
  <c r="AA48" i="28"/>
  <c r="AP48" i="28"/>
  <c r="BE38" i="28"/>
  <c r="AA38" i="28"/>
  <c r="AD43" i="28"/>
  <c r="AJ38" i="28"/>
  <c r="BH48" i="28"/>
  <c r="AA43" i="28"/>
  <c r="AH48" i="28"/>
  <c r="AD48" i="28"/>
  <c r="N38" i="28"/>
  <c r="BF38" i="28"/>
  <c r="AS43" i="28"/>
  <c r="AU43" i="28"/>
  <c r="Y48" i="28"/>
  <c r="X48" i="28"/>
  <c r="O48" i="28"/>
  <c r="BL38" i="28"/>
  <c r="BJ38" i="28"/>
  <c r="AO48" i="28"/>
  <c r="AR48" i="28"/>
  <c r="BC38" i="28"/>
  <c r="BA43" i="28"/>
  <c r="AH38" i="28"/>
  <c r="Y43" i="28"/>
  <c r="AY48" i="28"/>
  <c r="BM43" i="28"/>
  <c r="BL43" i="28"/>
  <c r="AZ43" i="28"/>
  <c r="T38" i="28"/>
  <c r="AV48" i="28"/>
  <c r="P43" i="28"/>
  <c r="AJ48" i="28"/>
  <c r="AL43" i="28"/>
  <c r="AF43" i="28"/>
  <c r="Q43" i="28"/>
  <c r="U48" i="28"/>
  <c r="BG38" i="28"/>
  <c r="AK48" i="28"/>
  <c r="AM48" i="28"/>
  <c r="BI43" i="28"/>
  <c r="AV43" i="28"/>
  <c r="AN48" i="28"/>
  <c r="AL38" i="28"/>
  <c r="AG48" i="28"/>
  <c r="AF38" i="28"/>
  <c r="BC43" i="28"/>
  <c r="AM43" i="28"/>
  <c r="Z38" i="28"/>
  <c r="AE48" i="28"/>
  <c r="AC38" i="28"/>
  <c r="AF48" i="28"/>
  <c r="X43" i="28"/>
  <c r="AT38" i="28"/>
  <c r="BJ48" i="28"/>
  <c r="V38" i="28"/>
  <c r="R38" i="28"/>
  <c r="BF48" i="28"/>
  <c r="V43" i="28"/>
  <c r="AC43" i="28"/>
  <c r="AY43" i="28"/>
  <c r="AE38" i="28"/>
  <c r="BK48" i="28"/>
  <c r="AO43" i="28"/>
  <c r="BK38" i="28"/>
  <c r="AK38" i="28"/>
  <c r="AN38" i="28"/>
  <c r="AU38" i="28"/>
  <c r="BK43" i="28"/>
  <c r="BE43" i="28"/>
  <c r="BI38" i="28"/>
  <c r="BM48" i="28"/>
  <c r="N43" i="28"/>
  <c r="AW43" i="28"/>
  <c r="R43" i="28"/>
  <c r="AX38" i="28"/>
  <c r="AX43" i="28"/>
  <c r="P38" i="28"/>
  <c r="AY38" i="28"/>
  <c r="Z43" i="28"/>
  <c r="AH43" i="28"/>
  <c r="BD43" i="28"/>
  <c r="BD48" i="28"/>
  <c r="AR38" i="28"/>
  <c r="AI43" i="28"/>
  <c r="AX48" i="28"/>
  <c r="W38" i="28"/>
  <c r="AT43" i="28"/>
  <c r="AU48" i="28"/>
  <c r="AE43" i="28"/>
  <c r="W43" i="28"/>
  <c r="BF43" i="28"/>
  <c r="BB48" i="28"/>
  <c r="S38" i="28"/>
  <c r="AB48" i="28"/>
  <c r="F99" i="10" l="1"/>
  <c r="C54" i="10"/>
  <c r="C30" i="27" s="1"/>
  <c r="I30" i="27" s="1"/>
  <c r="C88" i="10"/>
  <c r="AV49" i="28"/>
  <c r="BB44" i="28"/>
  <c r="AX44" i="28"/>
  <c r="AX49" i="28"/>
  <c r="AZ44" i="28"/>
  <c r="AT49" i="28"/>
  <c r="BL44" i="28"/>
  <c r="T39" i="28"/>
  <c r="O49" i="28"/>
  <c r="O39" i="28"/>
  <c r="AX39" i="28"/>
  <c r="AV44" i="28"/>
  <c r="F98" i="10"/>
  <c r="BD44" i="28"/>
  <c r="BF40" i="28"/>
  <c r="BF39" i="28"/>
  <c r="N50" i="28"/>
  <c r="N49" i="28"/>
  <c r="BH39" i="28"/>
  <c r="V39" i="28"/>
  <c r="V40" i="28"/>
  <c r="AT39" i="28"/>
  <c r="BB49" i="28"/>
  <c r="BF44" i="28"/>
  <c r="BF45" i="28"/>
  <c r="BJ44" i="28"/>
  <c r="BJ45" i="28"/>
  <c r="V50" i="28"/>
  <c r="V49" i="28"/>
  <c r="BP42" i="28"/>
  <c r="N39" i="28"/>
  <c r="N40" i="28"/>
  <c r="BH49" i="28"/>
  <c r="BL49" i="28"/>
  <c r="BB39" i="28"/>
  <c r="BP37" i="28"/>
  <c r="K52" i="28"/>
  <c r="R40" i="28"/>
  <c r="R39" i="28"/>
  <c r="BD49" i="28"/>
  <c r="N44" i="28"/>
  <c r="N45" i="28"/>
  <c r="BF49" i="28"/>
  <c r="BF50" i="28"/>
  <c r="AV39" i="28"/>
  <c r="R44" i="28"/>
  <c r="R45" i="28"/>
  <c r="BJ40" i="28"/>
  <c r="BJ39" i="28"/>
  <c r="O44" i="28"/>
  <c r="BD39" i="28"/>
  <c r="R49" i="28"/>
  <c r="R50" i="28"/>
  <c r="V45" i="28"/>
  <c r="V44" i="28"/>
  <c r="AZ39" i="28"/>
  <c r="BJ49" i="28"/>
  <c r="BJ50" i="28"/>
  <c r="BH44" i="28"/>
  <c r="T49" i="28"/>
  <c r="AT44" i="28"/>
  <c r="BL39" i="28"/>
  <c r="AZ49" i="28"/>
  <c r="T44" i="28"/>
  <c r="D52" i="31"/>
  <c r="F105" i="10"/>
  <c r="C31" i="31"/>
  <c r="C33" i="31" s="1"/>
  <c r="F103" i="10"/>
  <c r="C36" i="31"/>
  <c r="C38" i="31" s="1"/>
  <c r="C67" i="10"/>
  <c r="F102" i="10"/>
  <c r="E52" i="31"/>
  <c r="C64" i="31"/>
  <c r="C67" i="31" s="1"/>
  <c r="F101" i="10"/>
  <c r="F100" i="10"/>
  <c r="C79" i="10" l="1"/>
  <c r="C70" i="10"/>
  <c r="C55" i="10"/>
  <c r="D56" i="31"/>
  <c r="D57" i="31" s="1"/>
  <c r="C69" i="10"/>
  <c r="G56" i="31"/>
  <c r="G57" i="31" s="1"/>
  <c r="E56" i="31"/>
  <c r="E57" i="31" s="1"/>
  <c r="F56" i="31"/>
  <c r="F57" i="31" s="1"/>
  <c r="C56" i="31"/>
  <c r="C57" i="31" s="1"/>
  <c r="C58" i="10"/>
  <c r="BT45" i="28" s="1"/>
  <c r="BV45" i="28" s="1"/>
  <c r="M19" i="13"/>
  <c r="BT39" i="28"/>
  <c r="BP39" i="28"/>
  <c r="BP38" i="28"/>
  <c r="K56" i="28"/>
  <c r="BP40" i="28"/>
  <c r="C72" i="10" l="1"/>
  <c r="C60" i="10"/>
  <c r="C61" i="10" s="1"/>
  <c r="BT40" i="28"/>
  <c r="BU40" i="28" s="1"/>
  <c r="BU45" i="28"/>
  <c r="K54" i="28"/>
  <c r="K58" i="28"/>
  <c r="K53" i="28"/>
  <c r="K57" i="28"/>
  <c r="BT44" i="28"/>
  <c r="BV39" i="28"/>
  <c r="BU39" i="28"/>
  <c r="C53" i="10" l="1"/>
  <c r="C37" i="10" s="1"/>
  <c r="C45" i="10"/>
  <c r="M21" i="13" s="1"/>
  <c r="C26" i="27"/>
  <c r="BV40" i="28"/>
  <c r="C36" i="10"/>
  <c r="B68" i="27" s="1" a="1"/>
  <c r="B68" i="27" s="1"/>
  <c r="M23" i="13" s="1"/>
  <c r="BU44" i="28"/>
  <c r="BV44" i="28"/>
  <c r="M22" i="13" l="1"/>
  <c r="C27" i="27"/>
  <c r="BP51" i="28"/>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<sst xmlns="http://schemas.openxmlformats.org/spreadsheetml/2006/main" count="22831" uniqueCount="3694">
  <si>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</si>
  <si>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</si>
  <si>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</si>
  <si>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</si>
  <si>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</si>
  <si>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</si>
  <si>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</si>
  <si>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</si>
  <si>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</si>
  <si>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</si>
  <si>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</si>
  <si>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</si>
  <si>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</si>
  <si>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</si>
  <si>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</si>
  <si>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</si>
  <si>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</si>
  <si>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</si>
  <si>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</si>
  <si>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</si>
  <si>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</si>
  <si>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</si>
  <si>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</si>
  <si>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</si>
  <si>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</si>
  <si>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</si>
  <si>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</si>
  <si>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</si>
  <si>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</si>
  <si>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</si>
  <si>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</si>
  <si>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</si>
  <si>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</si>
  <si>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</si>
  <si>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</si>
  <si>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</si>
  <si>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</si>
  <si>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</si>
  <si>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</si>
  <si>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</si>
  <si>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</si>
  <si>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</si>
  <si>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</si>
  <si>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</si>
  <si>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</si>
  <si>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</si>
  <si>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</si>
  <si>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</si>
  <si>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</si>
  <si>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</si>
  <si>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</si>
  <si>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</si>
  <si>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</si>
  <si>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</si>
  <si>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</si>
  <si>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</si>
  <si>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</si>
  <si>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</si>
  <si>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</si>
  <si>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</si>
  <si>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</si>
  <si>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</si>
  <si>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</si>
  <si>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</si>
  <si>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</si>
  <si>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</si>
  <si>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</si>
  <si>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</si>
  <si>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</si>
  <si>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</si>
  <si>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</si>
  <si>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</si>
  <si>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</si>
  <si>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</si>
  <si>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</si>
  <si>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</si>
  <si>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</si>
  <si>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</si>
  <si>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</si>
  <si>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</si>
  <si>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</si>
  <si>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</si>
  <si>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</si>
  <si>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</si>
  <si>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</si>
  <si>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</si>
  <si>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</si>
  <si>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</si>
  <si>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</si>
  <si>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</si>
  <si>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</si>
  <si>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</si>
  <si>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</si>
  <si>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</si>
  <si>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</si>
  <si>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</si>
  <si>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</si>
  <si>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</si>
  <si>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</si>
  <si>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</si>
  <si>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</si>
  <si>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</si>
  <si>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</si>
  <si>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</si>
  <si>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</si>
  <si>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</si>
  <si>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</si>
  <si>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</si>
  <si>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</si>
  <si>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</si>
  <si>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</si>
  <si>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</si>
  <si>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</si>
  <si>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</si>
  <si>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</si>
  <si>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</si>
  <si>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</si>
  <si>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</si>
  <si>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</si>
  <si>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</si>
  <si>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</si>
  <si>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</si>
  <si>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</si>
  <si>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</si>
  <si>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</si>
  <si>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</si>
  <si>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</si>
  <si>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</si>
  <si>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</si>
  <si>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</si>
  <si>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</si>
  <si>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</si>
  <si>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</si>
  <si>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</si>
  <si>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</si>
  <si>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</si>
  <si>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</si>
  <si>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</si>
  <si>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</si>
  <si>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</si>
  <si>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</si>
  <si>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</si>
  <si>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</si>
  <si>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</si>
  <si>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</si>
  <si>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</si>
  <si>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</si>
  <si>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</si>
  <si>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</si>
  <si>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</si>
  <si>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</si>
  <si>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</si>
  <si>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</si>
  <si>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</si>
  <si>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</si>
  <si>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</si>
  <si>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</si>
  <si>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</si>
  <si>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</si>
  <si>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</si>
  <si>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</si>
  <si>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</si>
  <si>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</si>
  <si>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</si>
  <si>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</si>
  <si>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</si>
  <si>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</si>
  <si>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</si>
  <si>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</si>
  <si>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</si>
  <si>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</si>
  <si>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</si>
  <si>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</si>
  <si>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</si>
  <si>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</si>
  <si>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</si>
  <si>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</si>
  <si>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</si>
  <si>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</si>
  <si>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</si>
  <si>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</si>
  <si>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</si>
  <si>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</si>
  <si>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</si>
  <si>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</si>
  <si>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</si>
  <si>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</si>
  <si>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</si>
  <si>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</si>
  <si>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</si>
  <si>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</si>
  <si>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</si>
  <si>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</si>
  <si>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</si>
  <si>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</si>
  <si>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</si>
  <si>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</si>
  <si>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</si>
  <si>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</si>
  <si>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</si>
  <si>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</si>
  <si>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</si>
  <si>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</si>
  <si>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</si>
  <si>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</si>
  <si>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</si>
  <si>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</si>
  <si>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</si>
  <si>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</si>
  <si>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</si>
  <si>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</si>
  <si>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</si>
  <si>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</si>
  <si>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</si>
  <si>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</si>
  <si>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</si>
  <si>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</si>
  <si>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</si>
  <si>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</si>
  <si>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</si>
  <si>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</si>
  <si>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</si>
  <si>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</si>
  <si>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</si>
  <si>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</si>
  <si>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</si>
  <si>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</si>
  <si>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</si>
  <si>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</si>
  <si>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</si>
  <si>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</si>
  <si>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</si>
  <si>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</si>
  <si>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</si>
  <si>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</si>
  <si>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</si>
  <si>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</si>
  <si>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</si>
  <si>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</si>
  <si>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</si>
  <si>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</si>
  <si>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</si>
  <si>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</si>
  <si>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</si>
  <si>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</si>
  <si>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</si>
  <si>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</si>
  <si>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</si>
  <si>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</si>
  <si>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</si>
  <si>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</si>
  <si>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</si>
  <si>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</si>
  <si>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</si>
  <si>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</si>
  <si>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</si>
  <si>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</si>
  <si>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</si>
  <si>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</si>
  <si>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</si>
  <si>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</si>
  <si>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</si>
  <si>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</si>
  <si>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</si>
  <si>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</si>
  <si>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</si>
  <si>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</si>
  <si>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</si>
  <si>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</si>
  <si>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</si>
  <si>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</si>
  <si>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</si>
  <si>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</si>
  <si>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</si>
  <si>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</si>
  <si>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</si>
  <si>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</si>
  <si>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</si>
  <si>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</si>
  <si>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</si>
  <si>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</si>
  <si>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</si>
  <si>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</si>
  <si>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</si>
  <si>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</si>
  <si>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</si>
  <si>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</si>
  <si>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</si>
  <si>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</si>
  <si>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</si>
  <si>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</si>
  <si>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</si>
  <si>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</si>
  <si>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</si>
  <si>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</si>
  <si>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</si>
  <si>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</si>
  <si>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</si>
  <si>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</si>
  <si>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</si>
  <si>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</si>
  <si>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</si>
  <si>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</si>
  <si>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</si>
  <si>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</si>
  <si>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</si>
  <si>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</si>
  <si>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</si>
  <si>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</si>
  <si>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</si>
  <si>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</si>
  <si>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</si>
  <si>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</si>
  <si>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</si>
  <si>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</si>
  <si>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</si>
  <si>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</si>
  <si>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</si>
  <si>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</si>
  <si>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</si>
  <si>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</si>
  <si>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</si>
  <si>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</si>
  <si>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</si>
  <si>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</si>
  <si>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</si>
  <si>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</si>
  <si>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</si>
  <si>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</si>
  <si>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</si>
  <si>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</si>
  <si>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</si>
  <si>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</si>
  <si>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</si>
  <si>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</si>
  <si>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</si>
  <si>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</si>
  <si>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</si>
  <si>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</si>
  <si>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</si>
  <si>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</si>
  <si>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</si>
  <si>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</si>
  <si>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</si>
  <si>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</si>
  <si>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</si>
  <si>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</si>
  <si>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</si>
  <si>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</si>
  <si>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</si>
  <si>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</si>
  <si>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</si>
  <si>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</si>
  <si>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</si>
  <si>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</si>
  <si>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</si>
  <si>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</si>
  <si>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</si>
  <si>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</si>
  <si>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</si>
  <si>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</si>
  <si>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</si>
  <si>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</si>
  <si>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</si>
  <si>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</si>
  <si>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</si>
  <si>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</si>
  <si>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</si>
  <si>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</si>
  <si>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</si>
  <si>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</si>
  <si>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</si>
  <si>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</si>
  <si>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</si>
  <si>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</si>
  <si>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</si>
  <si>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</si>
  <si>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</si>
  <si>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</si>
  <si>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</si>
  <si>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</si>
  <si>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</si>
  <si>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</si>
  <si>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</si>
  <si>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</si>
  <si>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</si>
  <si>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</si>
  <si>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</si>
  <si>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</si>
  <si>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</si>
  <si>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</si>
  <si>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</si>
  <si>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</si>
  <si>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</si>
  <si>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</si>
  <si>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</si>
  <si>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</si>
  <si>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</si>
  <si>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</si>
  <si>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</si>
  <si>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</si>
  <si>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</si>
  <si>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</si>
  <si>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</si>
  <si>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</si>
  <si>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</si>
  <si>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</si>
  <si>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</si>
  <si>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</si>
  <si>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</si>
  <si>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</si>
  <si>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</si>
  <si>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</si>
  <si>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</si>
  <si>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</si>
  <si>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</si>
  <si>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</si>
  <si>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</si>
  <si>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</si>
  <si>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</si>
  <si>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</si>
  <si>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</si>
  <si>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</si>
  <si>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</si>
  <si>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</si>
  <si>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</si>
  <si>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</si>
  <si>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</si>
  <si>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</si>
  <si>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</si>
  <si>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</si>
  <si>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</si>
  <si>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</si>
  <si>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</si>
  <si>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</si>
  <si>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</si>
  <si>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</si>
  <si>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</si>
  <si>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</si>
  <si>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</si>
  <si>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</si>
  <si>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</si>
  <si>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</si>
  <si>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</si>
  <si>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</si>
  <si>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</si>
  <si>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</si>
  <si>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</si>
  <si>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</si>
  <si>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</si>
  <si>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</si>
  <si>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</si>
  <si>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</si>
  <si>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</si>
  <si>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</si>
  <si>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</si>
  <si>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</si>
  <si>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</si>
  <si>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</si>
  <si>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</si>
  <si>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</si>
  <si>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</si>
  <si>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</si>
  <si>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</si>
  <si>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</si>
  <si>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</si>
  <si>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</si>
  <si>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</si>
  <si>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</si>
  <si>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</si>
  <si>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</si>
  <si>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</si>
  <si>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</si>
  <si>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</si>
  <si>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</si>
  <si>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</si>
  <si>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</si>
  <si>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</si>
  <si>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</si>
  <si>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</si>
  <si>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</si>
  <si>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</si>
  <si>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</si>
  <si>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</si>
  <si>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</si>
  <si>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</si>
  <si>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</si>
  <si>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</si>
  <si>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</si>
  <si>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</si>
  <si>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</si>
  <si>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</si>
  <si>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</si>
  <si>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</si>
  <si>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</si>
  <si>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</si>
  <si>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</si>
  <si>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</si>
  <si>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</si>
  <si>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</si>
  <si>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</si>
  <si>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</si>
  <si>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</si>
  <si>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</si>
  <si>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</si>
  <si>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</si>
  <si>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</si>
  <si>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</si>
  <si>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</si>
  <si>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</si>
  <si>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</si>
  <si>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</si>
  <si>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</si>
  <si>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</si>
  <si>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</si>
  <si>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</si>
  <si>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</si>
  <si>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</si>
  <si>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</si>
  <si>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</si>
  <si>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</si>
  <si>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</si>
  <si>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</si>
  <si>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</si>
  <si>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</si>
  <si>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</si>
  <si>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</si>
  <si>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</si>
  <si>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</si>
  <si>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</si>
  <si>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</si>
  <si>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</si>
  <si>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</si>
  <si>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</si>
  <si>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</si>
  <si>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</si>
  <si>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</si>
  <si>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</si>
  <si>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</si>
  <si>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</si>
  <si>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</si>
  <si>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</si>
  <si>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</si>
  <si>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</si>
  <si>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</si>
  <si>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</si>
  <si>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</si>
  <si>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</si>
  <si>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</si>
  <si>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</si>
  <si>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</si>
  <si>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</si>
  <si>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</si>
  <si>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</si>
  <si>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</si>
  <si>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</si>
  <si>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</si>
  <si>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</si>
  <si>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</si>
  <si>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</si>
  <si>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</si>
  <si>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</si>
  <si>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</si>
  <si>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</si>
  <si>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</si>
  <si>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</si>
  <si>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</si>
  <si>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</si>
  <si>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</si>
  <si>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</si>
  <si>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</si>
  <si>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</si>
  <si>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</si>
  <si>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</si>
  <si>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</si>
  <si>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</si>
  <si>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</si>
  <si>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</si>
  <si>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</si>
  <si>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</si>
  <si>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</si>
  <si>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</si>
  <si>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</si>
  <si>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</si>
  <si>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</si>
  <si>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</si>
  <si>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</si>
  <si>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</si>
  <si>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</si>
  <si>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</si>
  <si>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</si>
  <si>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</si>
  <si>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</si>
  <si>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</si>
  <si>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</si>
  <si>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</si>
  <si>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</si>
  <si>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</si>
  <si>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</si>
  <si>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</si>
  <si>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</si>
  <si>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</si>
  <si>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</si>
  <si>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</si>
  <si>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</si>
  <si>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</si>
  <si>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</si>
  <si>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</si>
  <si>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</si>
  <si>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</si>
  <si>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</si>
  <si>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</si>
  <si>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</si>
  <si>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</si>
  <si>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</si>
  <si>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</si>
  <si>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</si>
  <si>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</si>
  <si>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</si>
  <si>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</si>
  <si>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</si>
  <si>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</si>
  <si>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</si>
  <si>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</si>
  <si>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</si>
  <si>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</si>
  <si>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</si>
  <si>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</si>
  <si>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</si>
  <si>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</si>
  <si>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</si>
  <si>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</si>
  <si>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</si>
  <si>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</si>
  <si>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</si>
  <si>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</si>
  <si>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</si>
  <si>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</si>
  <si>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</si>
  <si>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</si>
  <si>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</si>
  <si>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</si>
  <si>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</si>
  <si>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</si>
  <si>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</si>
  <si>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</si>
  <si>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</si>
  <si>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</si>
  <si>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</si>
  <si>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</si>
  <si>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</si>
  <si>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</si>
  <si>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</si>
  <si>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</si>
  <si>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</si>
  <si>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</si>
  <si>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</si>
  <si>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</si>
  <si>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</si>
  <si>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</si>
  <si>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</si>
  <si>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</si>
  <si>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</si>
  <si>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</si>
  <si>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</si>
  <si>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</si>
  <si>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</si>
  <si>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</si>
  <si>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</si>
  <si>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</si>
  <si>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</si>
  <si>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</si>
  <si>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</si>
  <si>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</si>
  <si>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</si>
  <si>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</si>
  <si>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</si>
  <si>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</si>
  <si>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</si>
  <si>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</si>
  <si>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</si>
  <si>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</si>
  <si>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</si>
  <si>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</si>
  <si>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</si>
  <si>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</si>
  <si>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</si>
  <si>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</si>
  <si>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</si>
  <si>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</si>
  <si>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</si>
  <si>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</si>
  <si>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</si>
  <si>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</si>
  <si>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</si>
  <si>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</si>
  <si>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</si>
  <si>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</si>
  <si>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</si>
  <si>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</si>
  <si>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</si>
  <si>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</si>
  <si>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</si>
  <si>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</si>
  <si>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</si>
  <si>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</si>
  <si>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</si>
  <si>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</si>
  <si>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</si>
  <si>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</si>
  <si>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</si>
  <si>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</si>
  <si>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</si>
  <si>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</si>
  <si>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</si>
  <si>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</si>
  <si>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</si>
  <si>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</si>
  <si>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</si>
  <si>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</si>
  <si>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</si>
  <si>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</si>
  <si>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</si>
  <si>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</si>
  <si>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</si>
  <si>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</si>
  <si>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</si>
  <si>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</si>
  <si>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</si>
  <si>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</si>
  <si>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</si>
  <si>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</si>
  <si>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</si>
  <si>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</si>
  <si>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</si>
  <si>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</si>
  <si>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</si>
  <si>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</si>
  <si>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</si>
  <si>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</si>
  <si>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</si>
  <si>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</si>
  <si>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</si>
  <si>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</si>
  <si>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</si>
  <si>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</si>
  <si>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</si>
  <si>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</si>
  <si>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</si>
  <si>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</si>
  <si>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</si>
  <si>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</si>
  <si>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</si>
  <si>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</si>
  <si>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</si>
  <si>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</si>
  <si>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</si>
  <si>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</si>
  <si>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</si>
  <si>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</si>
  <si>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</si>
  <si>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</si>
  <si>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</si>
  <si>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</si>
  <si>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</si>
  <si>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</si>
  <si>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</si>
  <si>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</si>
  <si>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</si>
  <si>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</si>
  <si>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</si>
  <si>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</si>
  <si>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</si>
  <si>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</si>
  <si>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</si>
  <si>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</si>
  <si>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</si>
  <si>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</si>
  <si>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</si>
  <si>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</si>
  <si>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</si>
  <si>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</si>
  <si>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</si>
  <si>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</si>
  <si>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</si>
  <si>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</si>
  <si>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</si>
  <si>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</si>
  <si>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</si>
  <si>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</si>
  <si>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</si>
  <si>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</si>
  <si>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</si>
  <si>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</si>
  <si>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</si>
  <si>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</si>
  <si>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</si>
  <si>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</si>
  <si>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</si>
  <si>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</si>
  <si>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</si>
  <si>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</si>
  <si>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</si>
  <si>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</si>
  <si>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</si>
  <si>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</si>
  <si>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</si>
  <si>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</si>
  <si>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</si>
  <si>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</si>
  <si>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</si>
  <si>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</si>
  <si>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</si>
  <si>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</si>
  <si>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</si>
  <si>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</si>
  <si>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</si>
  <si>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</si>
  <si>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</si>
  <si>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</si>
  <si>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</si>
  <si>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</si>
  <si>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</si>
  <si>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</si>
  <si>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</si>
  <si>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</si>
  <si>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</si>
  <si>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</si>
  <si>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</si>
  <si>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</si>
  <si>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</si>
  <si>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</si>
  <si>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</si>
  <si>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</si>
  <si>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</si>
  <si>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</si>
  <si>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</si>
  <si>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</si>
  <si>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</si>
  <si>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</si>
  <si>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</si>
  <si>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</si>
  <si>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</si>
  <si>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</si>
  <si>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</si>
  <si>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</si>
  <si>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</si>
  <si>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</si>
  <si>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</si>
  <si>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</si>
  <si>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</si>
  <si>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</si>
  <si>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</si>
  <si>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</si>
  <si>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</si>
  <si>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</si>
  <si>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</si>
  <si>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</si>
  <si>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</si>
  <si>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</si>
  <si>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</si>
  <si>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</si>
  <si>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</si>
  <si>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</si>
  <si>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</si>
  <si>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</si>
  <si>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</si>
  <si>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</si>
  <si>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</si>
  <si>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</si>
  <si>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</si>
  <si>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</si>
  <si>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</si>
  <si>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</si>
  <si>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</si>
  <si>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</si>
  <si>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</si>
  <si>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</si>
  <si>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</si>
  <si>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</si>
  <si>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</si>
  <si>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</si>
  <si>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</si>
  <si>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</si>
  <si>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</si>
  <si>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</si>
  <si>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</si>
  <si>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</si>
  <si>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</si>
  <si>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</si>
  <si>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</si>
  <si>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</si>
  <si>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</si>
  <si>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</si>
  <si>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</si>
  <si>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</si>
  <si>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</si>
  <si>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</si>
  <si>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</si>
  <si>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</si>
  <si>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</si>
  <si>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</si>
  <si>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</si>
  <si>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</si>
  <si>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</si>
  <si>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</si>
  <si>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</si>
  <si>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</si>
  <si>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</si>
  <si>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</si>
  <si>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</si>
  <si>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</si>
  <si>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</si>
  <si>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</si>
  <si>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</si>
  <si>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</si>
  <si>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</si>
  <si>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</si>
  <si>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</si>
  <si>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</si>
  <si>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</si>
  <si>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</si>
  <si>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</si>
  <si>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</si>
  <si>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</si>
  <si>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</si>
  <si>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</si>
  <si>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</si>
  <si>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</si>
  <si>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</si>
  <si>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</si>
  <si>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</si>
  <si>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</si>
  <si>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</si>
  <si>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</si>
  <si>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</si>
  <si>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</si>
  <si>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</si>
  <si>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</si>
  <si>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</si>
  <si>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</si>
  <si>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</si>
  <si>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</si>
  <si>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</si>
  <si>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</si>
  <si>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</si>
  <si>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</si>
  <si>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</si>
  <si>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</si>
  <si>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</si>
  <si>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</si>
  <si>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</si>
  <si>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</si>
  <si>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</si>
  <si>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</si>
  <si>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</si>
  <si>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</si>
  <si>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</si>
  <si>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</si>
  <si>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</si>
  <si>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</si>
  <si>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</si>
  <si>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</si>
  <si>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</si>
  <si>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</si>
  <si>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</si>
  <si>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</si>
  <si>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</si>
  <si>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</si>
  <si>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</si>
  <si>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</si>
  <si>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</si>
  <si>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</si>
  <si>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</si>
  <si>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</si>
  <si>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</si>
  <si>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</si>
  <si>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</si>
  <si>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</si>
  <si>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</si>
  <si>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</si>
  <si>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</si>
  <si>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</si>
  <si>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</si>
  <si>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</si>
  <si>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</si>
  <si>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</si>
  <si>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</si>
  <si>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</si>
  <si>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</si>
  <si>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</si>
  <si>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</si>
  <si>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</si>
  <si>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</si>
  <si>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</si>
  <si>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</si>
  <si>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</si>
  <si>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</si>
  <si>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</si>
  <si>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</si>
  <si>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</si>
  <si>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</si>
  <si>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</si>
  <si>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</si>
  <si>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</si>
  <si>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</si>
  <si>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</si>
  <si>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</si>
  <si>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</si>
  <si>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</si>
  <si>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</si>
  <si>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</si>
  <si>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</si>
  <si>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</si>
  <si>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</si>
  <si>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</si>
  <si>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</si>
  <si>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</si>
  <si>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</si>
  <si>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</si>
  <si>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</si>
  <si>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</si>
  <si>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</si>
  <si>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</si>
  <si>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</si>
  <si>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</si>
  <si>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</si>
  <si>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</si>
  <si>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</si>
  <si>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</si>
  <si>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</si>
  <si>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</si>
  <si>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</si>
  <si>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</si>
  <si>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</si>
  <si>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</si>
  <si>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</si>
  <si>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</si>
  <si>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</si>
  <si>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</si>
  <si>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</si>
  <si>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</si>
  <si>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</si>
  <si>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</si>
  <si>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</si>
  <si>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</si>
  <si>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</si>
  <si>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</si>
  <si>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</si>
  <si>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</si>
  <si>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</si>
  <si>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</si>
  <si>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</si>
  <si>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</si>
  <si>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</si>
  <si>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</si>
  <si>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</si>
  <si>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</si>
  <si>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</si>
  <si>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</si>
  <si>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</si>
  <si>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</si>
  <si>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</si>
  <si>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</si>
  <si>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</si>
  <si>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</si>
  <si>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</si>
  <si>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</si>
  <si>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</si>
  <si>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</si>
  <si>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</si>
  <si>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</si>
  <si>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</si>
  <si>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</si>
  <si>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</si>
  <si>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</si>
  <si>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</si>
  <si>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</si>
  <si>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</si>
  <si>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</si>
  <si>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</si>
  <si>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</si>
  <si>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</si>
  <si>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</si>
  <si>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</si>
  <si>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</si>
  <si>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</si>
  <si>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</si>
  <si>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</si>
  <si>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</si>
  <si>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</si>
  <si>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</si>
  <si>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</si>
  <si>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</si>
  <si>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</si>
  <si>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</si>
  <si>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</si>
  <si>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</si>
  <si>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</si>
  <si>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</si>
  <si>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</si>
  <si>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</si>
  <si>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</si>
  <si>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</si>
  <si>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</si>
  <si>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</si>
  <si>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</si>
  <si>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</si>
  <si>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</si>
  <si>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</si>
  <si>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</si>
  <si>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</si>
  <si>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</si>
  <si>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</si>
  <si>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</si>
  <si>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</si>
  <si>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</si>
  <si>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</si>
  <si>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</si>
  <si>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</si>
  <si>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</si>
  <si>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</si>
  <si>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</si>
  <si>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</si>
  <si>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</si>
  <si>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</si>
  <si>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</si>
  <si>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</si>
  <si>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</si>
  <si>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</si>
  <si>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</si>
  <si>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</si>
  <si>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</si>
  <si>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</si>
  <si>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</si>
  <si>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</si>
  <si>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</si>
  <si>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</si>
  <si>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</si>
  <si>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</si>
  <si>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</si>
  <si>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</si>
  <si>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</si>
  <si>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</si>
  <si>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</si>
  <si>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</si>
  <si>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</si>
  <si>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</si>
  <si>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</si>
  <si>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</si>
  <si>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</si>
  <si>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</si>
  <si>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</si>
  <si>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</si>
  <si>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</si>
  <si>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</si>
  <si>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</si>
  <si>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</si>
  <si>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</si>
  <si>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</si>
  <si>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</si>
  <si>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</si>
  <si>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</si>
  <si>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</si>
  <si>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</si>
  <si>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</si>
  <si>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</si>
  <si>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</si>
  <si>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</si>
  <si>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</si>
  <si>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</si>
  <si>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</si>
  <si>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</si>
  <si>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</si>
  <si>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</si>
  <si>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</si>
  <si>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</si>
  <si>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</si>
  <si>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</si>
  <si>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</si>
  <si>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</si>
  <si>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</si>
  <si>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</si>
  <si>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</si>
  <si>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</si>
  <si>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</si>
  <si>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</si>
  <si>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</si>
  <si>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</si>
  <si>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</si>
  <si>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</si>
  <si>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</si>
  <si>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</si>
  <si>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</si>
  <si>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</si>
  <si>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</si>
  <si>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</si>
  <si>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</si>
  <si>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</si>
  <si>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</si>
  <si>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</si>
  <si>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</si>
  <si>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</si>
  <si>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</si>
  <si>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</si>
  <si>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</si>
  <si>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</si>
  <si>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</si>
  <si>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</si>
  <si>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</si>
  <si>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</si>
  <si>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</si>
  <si>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</si>
  <si>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</si>
  <si>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</si>
  <si>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</si>
  <si>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</si>
  <si>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</si>
  <si>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</si>
  <si>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</si>
  <si>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</si>
  <si>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</si>
  <si>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</si>
  <si>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</si>
  <si>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</si>
  <si>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</si>
  <si>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</si>
  <si>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</si>
  <si>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</si>
  <si>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</si>
  <si>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</si>
  <si>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</si>
  <si>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</si>
  <si>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</si>
  <si>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</si>
  <si>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</si>
  <si>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</si>
  <si>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</si>
  <si>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</si>
  <si>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</si>
  <si>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</si>
  <si>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</si>
  <si>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</si>
  <si>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</si>
  <si>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</si>
  <si>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</si>
  <si>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</si>
  <si>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</si>
  <si>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</si>
  <si>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</si>
  <si>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</si>
  <si>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</si>
  <si>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</si>
  <si>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</si>
  <si>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</si>
  <si>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</si>
  <si>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</si>
  <si>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</si>
  <si>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</si>
  <si>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</si>
  <si>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</si>
  <si>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</si>
  <si>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</si>
  <si>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</si>
  <si>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</si>
  <si>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</si>
  <si>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</si>
  <si>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</si>
  <si>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</si>
  <si>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</si>
  <si>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</si>
  <si>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</si>
  <si>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</si>
  <si>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</si>
  <si>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</si>
  <si>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</si>
  <si>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</si>
  <si>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</si>
  <si>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</si>
  <si>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</si>
  <si>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</si>
  <si>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</si>
  <si>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</si>
  <si>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</si>
  <si>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</si>
  <si>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</si>
  <si>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</si>
  <si>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</si>
  <si>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</si>
  <si>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</si>
  <si>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</si>
  <si>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</si>
  <si>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</si>
  <si>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</si>
  <si>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</si>
  <si>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</si>
  <si>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</si>
  <si>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</si>
  <si>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</si>
  <si>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</si>
  <si>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</si>
  <si>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</si>
  <si>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</si>
  <si>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</si>
  <si>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</si>
  <si>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</si>
  <si>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</si>
  <si>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</si>
  <si>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</si>
  <si>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</si>
  <si>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</si>
  <si>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</si>
  <si>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</si>
  <si>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</si>
  <si>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</si>
  <si>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</si>
  <si>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</si>
  <si>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</si>
  <si>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</si>
  <si>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</si>
  <si>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</si>
  <si>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</si>
  <si>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</si>
  <si>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</si>
  <si>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</si>
  <si>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</si>
  <si>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</si>
  <si>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</si>
  <si>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</si>
  <si>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</si>
  <si>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</si>
  <si>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</si>
  <si>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</si>
  <si>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</si>
  <si>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</si>
  <si>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</si>
  <si>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</si>
  <si>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</si>
  <si>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</si>
  <si>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</si>
  <si>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</si>
  <si>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</si>
  <si>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</si>
  <si>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</si>
  <si>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</si>
  <si>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</si>
  <si>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</si>
  <si>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</si>
  <si>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</si>
  <si>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</si>
  <si>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</si>
  <si>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</si>
  <si>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</si>
  <si>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</si>
  <si>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</si>
  <si>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</si>
  <si>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</si>
  <si>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</si>
  <si>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</si>
  <si>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</si>
  <si>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</si>
  <si>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</si>
  <si>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</si>
  <si>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</si>
  <si>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</si>
  <si>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</si>
  <si>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</si>
  <si>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</si>
  <si>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</si>
  <si>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</si>
  <si>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</si>
  <si>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</si>
  <si>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</si>
  <si>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</si>
  <si>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</si>
  <si>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</si>
  <si>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</si>
  <si>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</si>
  <si>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</si>
  <si>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</si>
  <si>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</si>
  <si>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</si>
  <si>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</si>
  <si>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</si>
  <si>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</si>
  <si>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</si>
  <si>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</si>
  <si>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</si>
  <si>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</si>
  <si>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</si>
  <si>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</si>
  <si>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</si>
  <si>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</si>
  <si>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</si>
  <si>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</si>
  <si>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</si>
  <si>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</si>
  <si>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</si>
  <si>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</si>
  <si>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</si>
  <si>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</si>
  <si>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</si>
  <si>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</si>
  <si>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</si>
  <si>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</si>
  <si>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</si>
  <si>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</si>
  <si>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</si>
  <si>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</si>
  <si>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</si>
  <si>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</si>
  <si>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</si>
  <si>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</si>
  <si>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</si>
  <si>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</si>
  <si>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</si>
  <si>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</si>
  <si>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</si>
  <si>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</si>
  <si>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</si>
  <si>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</si>
  <si>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</si>
  <si>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</si>
  <si>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</si>
  <si>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</si>
  <si>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</si>
  <si>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</si>
  <si>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</si>
  <si>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</si>
  <si>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</si>
  <si>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</si>
  <si>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</si>
  <si>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</si>
  <si>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</si>
  <si>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</si>
  <si>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</si>
  <si>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</si>
  <si>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</si>
  <si>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</si>
  <si>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</si>
  <si>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</si>
  <si>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</si>
  <si>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</si>
  <si>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</si>
  <si>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</si>
  <si>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</si>
  <si>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</si>
  <si>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</si>
  <si>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</si>
  <si>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</si>
  <si>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</si>
  <si>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</si>
  <si>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</si>
  <si>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</si>
  <si>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</si>
  <si>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</si>
  <si>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</si>
  <si>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</si>
  <si>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</si>
  <si>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</si>
  <si>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</si>
  <si>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</si>
  <si>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</si>
  <si>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</si>
  <si>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</si>
  <si>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</si>
  <si>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</si>
  <si>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</si>
  <si>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</si>
  <si>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</si>
  <si>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</si>
  <si>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</si>
  <si>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</si>
  <si>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</si>
  <si>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</si>
  <si>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</si>
  <si>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</si>
  <si>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</si>
  <si>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</si>
  <si>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</si>
  <si>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</si>
  <si>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</si>
  <si>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</si>
  <si>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</si>
  <si>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</si>
  <si>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</si>
  <si>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</si>
  <si>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</si>
  <si>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</si>
  <si>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</si>
  <si>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</si>
  <si>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</si>
  <si>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</si>
  <si>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</si>
  <si>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</si>
  <si>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</si>
  <si>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</si>
  <si>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</si>
  <si>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</si>
  <si>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</si>
  <si>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</si>
  <si>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</si>
  <si>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</si>
  <si>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</si>
  <si>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</si>
  <si>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</si>
  <si>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</si>
  <si>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</si>
  <si>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</si>
  <si>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</si>
  <si>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</si>
  <si>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</si>
  <si>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</si>
  <si>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</si>
  <si>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</si>
  <si>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</si>
  <si>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</si>
  <si>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</si>
  <si>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</si>
  <si>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</si>
  <si>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</si>
  <si>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</si>
  <si>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</si>
  <si>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</si>
  <si>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</si>
  <si>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</si>
  <si>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</si>
  <si>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</si>
  <si>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</si>
  <si>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</si>
  <si>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</si>
  <si>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</si>
  <si>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</si>
  <si>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</si>
  <si>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</si>
  <si>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</si>
  <si>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</si>
  <si>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</si>
  <si>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</si>
  <si>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</si>
  <si>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</si>
  <si>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</si>
  <si>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</si>
  <si>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</si>
  <si>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</si>
  <si>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</si>
  <si>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</si>
  <si>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</si>
  <si>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</si>
  <si>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</si>
  <si>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</si>
  <si>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</si>
  <si>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</si>
  <si>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</si>
  <si>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</si>
  <si>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</si>
  <si>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</si>
  <si>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</si>
  <si>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</si>
  <si>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</si>
  <si>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</si>
  <si>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</si>
  <si>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</si>
  <si>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</si>
  <si>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</si>
  <si>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</si>
  <si>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</si>
  <si>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</si>
  <si>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</si>
  <si>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</si>
  <si>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</si>
  <si>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</si>
  <si>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</si>
  <si>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</si>
  <si>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</si>
  <si>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</si>
  <si>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</si>
  <si>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</si>
  <si>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</si>
  <si>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</si>
  <si>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</si>
  <si>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</si>
  <si>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</si>
  <si>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</si>
  <si>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</si>
  <si>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</si>
  <si>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</si>
  <si>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</si>
  <si>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</si>
  <si>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</si>
  <si>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</si>
  <si>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</si>
  <si>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</si>
  <si>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</si>
  <si>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</si>
  <si>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</si>
  <si>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</si>
  <si>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</si>
  <si>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</si>
  <si>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</si>
  <si>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</si>
  <si>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</si>
  <si>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</si>
  <si>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</si>
  <si>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</si>
  <si>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</si>
  <si>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</si>
  <si>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</si>
  <si>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</si>
  <si>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</si>
  <si>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</si>
  <si>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</si>
  <si>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</si>
  <si>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</si>
  <si>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</si>
  <si>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</si>
  <si>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</si>
  <si>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</si>
  <si>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</si>
  <si>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</si>
  <si>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</si>
  <si>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</si>
  <si>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</si>
  <si>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</si>
  <si>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</si>
  <si>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</si>
  <si>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</si>
  <si>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</si>
  <si>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</si>
  <si>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</si>
  <si>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</si>
  <si>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</si>
  <si>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</si>
  <si>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</si>
  <si>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</si>
  <si>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</si>
  <si>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</si>
  <si>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</si>
  <si>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</si>
  <si>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</si>
  <si>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</si>
  <si>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</si>
  <si>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</si>
  <si>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</si>
  <si>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</si>
  <si>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</si>
  <si>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</si>
  <si>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</si>
  <si>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</si>
  <si>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</si>
  <si>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</si>
  <si>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</si>
  <si>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</si>
  <si>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</si>
  <si>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</si>
  <si>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</si>
  <si>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</si>
  <si>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</si>
  <si>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</si>
  <si>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</si>
  <si>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</si>
  <si>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</si>
  <si>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</si>
  <si>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</si>
  <si>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</si>
  <si>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</si>
  <si>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</si>
  <si>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</si>
  <si>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</si>
  <si>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</si>
  <si>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</si>
  <si>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</si>
  <si>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</si>
  <si>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</si>
  <si>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</si>
  <si>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</si>
  <si>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</si>
  <si>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</si>
  <si>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</si>
  <si>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</si>
  <si>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</si>
  <si>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</si>
  <si>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</si>
  <si>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</si>
  <si>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</si>
  <si>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</si>
  <si>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</si>
  <si>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</si>
  <si>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</si>
  <si>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</si>
  <si>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</si>
  <si>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</si>
  <si>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</si>
  <si>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</si>
  <si>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</si>
  <si>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</si>
  <si>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</si>
  <si>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</si>
  <si>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</si>
  <si>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</si>
  <si>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</si>
  <si>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</si>
  <si>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</si>
  <si>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</si>
  <si>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</si>
  <si>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</si>
  <si>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</si>
  <si>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</si>
  <si>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</si>
  <si>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</si>
  <si>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</si>
  <si>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</si>
  <si>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</si>
  <si>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</si>
  <si>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</si>
  <si>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</si>
  <si>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</si>
  <si>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</si>
  <si>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</si>
  <si>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</si>
  <si>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</si>
  <si>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</si>
  <si>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</si>
  <si>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</si>
  <si>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</si>
  <si>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</si>
  <si>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</si>
  <si>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</si>
  <si>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</si>
  <si>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</si>
  <si>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</si>
  <si>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</si>
  <si>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</si>
  <si>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</si>
  <si>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</si>
  <si>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</si>
  <si>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</si>
  <si>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</si>
  <si>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</si>
  <si>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</si>
  <si>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</si>
  <si>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</si>
  <si>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</si>
  <si>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</si>
  <si>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</si>
  <si>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</si>
  <si>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</si>
  <si>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</si>
  <si>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</si>
  <si>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</si>
  <si>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</si>
  <si>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</si>
  <si>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</si>
  <si>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</si>
  <si>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</si>
  <si>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</si>
  <si>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</si>
  <si>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</si>
  <si>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</si>
  <si>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</si>
  <si>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</si>
  <si>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</si>
  <si>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</si>
  <si>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</si>
  <si>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</si>
  <si>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</si>
  <si>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</si>
  <si>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</si>
  <si>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</si>
  <si>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</si>
  <si>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</si>
  <si>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</si>
  <si>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</si>
  <si>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</si>
  <si>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</si>
  <si>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</si>
  <si>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</si>
  <si>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</si>
  <si>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</si>
  <si>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</si>
  <si>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</si>
  <si>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</si>
  <si>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</si>
  <si>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</si>
  <si>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</si>
  <si>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</si>
  <si>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</si>
  <si>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</si>
  <si>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</si>
  <si>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</si>
  <si>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</si>
  <si>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</si>
  <si>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</si>
  <si>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</si>
  <si>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</si>
  <si>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</si>
  <si>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</si>
  <si>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</si>
  <si>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</si>
  <si>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</si>
  <si>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</si>
  <si>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</si>
  <si>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</si>
  <si>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</si>
  <si>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</si>
  <si>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</si>
  <si>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</si>
  <si>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</si>
  <si>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</si>
  <si>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</si>
  <si>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</si>
  <si>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</si>
  <si>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</si>
  <si>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</si>
  <si>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</si>
  <si>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</si>
  <si>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</si>
  <si>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</si>
  <si>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</si>
  <si>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</si>
  <si>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</si>
  <si>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</si>
  <si>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</si>
  <si>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</si>
  <si>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</si>
  <si>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</si>
  <si>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</si>
  <si>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</si>
  <si>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</si>
  <si>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</si>
  <si>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</si>
  <si>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</si>
  <si>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</si>
  <si>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</si>
  <si>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</si>
  <si>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</si>
  <si>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</si>
  <si>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</si>
  <si>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</si>
  <si>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</si>
  <si>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</si>
  <si>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</si>
  <si>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</si>
  <si>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</si>
  <si>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</si>
  <si>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</si>
  <si>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</si>
  <si>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</si>
  <si>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</si>
  <si>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</si>
  <si>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</si>
  <si>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</si>
  <si>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</si>
  <si>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</si>
  <si>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</si>
  <si>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</si>
  <si>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</si>
  <si>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</si>
  <si>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</si>
  <si>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</si>
  <si>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</si>
  <si>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</si>
  <si>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</si>
  <si>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</si>
  <si>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</si>
  <si>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</si>
  <si>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</si>
  <si>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</si>
  <si>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</si>
  <si>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</si>
  <si>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</si>
  <si>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</si>
  <si>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</si>
  <si>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</si>
  <si>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</si>
  <si>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</si>
  <si>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</si>
  <si>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</si>
  <si>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</si>
  <si>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</si>
  <si>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</si>
  <si>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</si>
  <si>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</si>
  <si>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</si>
  <si>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</si>
  <si>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</si>
  <si>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</si>
  <si>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</si>
  <si>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</si>
  <si>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</si>
  <si>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</si>
  <si>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</si>
  <si>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</si>
  <si>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</si>
  <si>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</si>
  <si>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</si>
  <si>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</si>
  <si>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</si>
  <si>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</si>
  <si>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</si>
  <si>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</si>
  <si>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</si>
  <si>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</si>
  <si>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</si>
  <si>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</si>
  <si>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</si>
  <si>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</si>
  <si>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</si>
  <si>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</si>
  <si>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</si>
  <si>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</si>
  <si>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</si>
  <si>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</si>
  <si>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</si>
  <si>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</si>
  <si>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</si>
  <si>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</si>
  <si>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</si>
  <si>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</si>
  <si>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</si>
  <si>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</si>
  <si>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</si>
  <si>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</si>
  <si>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</si>
  <si>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</si>
  <si>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</si>
  <si>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</si>
  <si>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</si>
  <si>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</si>
  <si>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</si>
  <si>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</si>
  <si>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</si>
  <si>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</si>
  <si>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</si>
  <si>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</si>
  <si>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</si>
  <si>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</si>
  <si>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</si>
  <si>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</si>
  <si>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</si>
  <si>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</si>
  <si>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</si>
  <si>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</si>
  <si>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</si>
  <si>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</si>
  <si>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</si>
  <si>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</si>
  <si>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</si>
  <si>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</si>
  <si>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</si>
  <si>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</si>
  <si>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</si>
  <si>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</si>
  <si>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</si>
  <si>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</si>
  <si>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</si>
  <si>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</si>
  <si>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</si>
  <si>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</si>
  <si>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</si>
  <si>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</si>
  <si>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</si>
  <si>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</si>
  <si>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</si>
  <si>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</si>
  <si>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</si>
  <si>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</si>
  <si>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</si>
  <si>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</si>
  <si>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</si>
  <si>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</si>
  <si>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</si>
  <si>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</si>
  <si>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</si>
  <si>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</si>
  <si>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</si>
  <si>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</si>
  <si>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</si>
  <si>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</si>
  <si>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</si>
  <si>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</si>
  <si>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</si>
  <si>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</si>
  <si>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</si>
  <si>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</si>
  <si>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</si>
  <si>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</si>
  <si>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</si>
  <si>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</si>
  <si>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</si>
  <si>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</si>
  <si>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</si>
  <si>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</si>
  <si>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</si>
  <si>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</si>
  <si>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</si>
  <si>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</si>
  <si>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</si>
  <si>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</si>
  <si>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</si>
  <si>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</si>
  <si>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</si>
  <si>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</si>
  <si>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</si>
  <si>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</si>
  <si>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</si>
  <si>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</si>
  <si>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</si>
  <si>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</si>
  <si>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</si>
  <si>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</si>
  <si>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</si>
  <si>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</si>
  <si>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</si>
  <si>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</si>
  <si>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</si>
  <si>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</si>
  <si>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</si>
  <si>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</si>
  <si>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</si>
  <si>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</si>
  <si>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</si>
  <si>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</si>
  <si>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</si>
  <si>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</si>
  <si>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</si>
  <si>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</si>
  <si>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</si>
  <si>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</si>
  <si>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</si>
  <si>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</si>
  <si>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</si>
  <si>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</si>
  <si>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</si>
  <si>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</si>
  <si>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</si>
  <si>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</si>
  <si>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</si>
  <si>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</si>
  <si>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</si>
  <si>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</si>
  <si>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</si>
  <si>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</si>
  <si>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</si>
  <si>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</si>
  <si>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</si>
  <si>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</si>
  <si>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</si>
  <si>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</si>
  <si>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</si>
  <si>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</si>
  <si>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</si>
  <si>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</si>
  <si>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</si>
  <si>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</si>
  <si>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</si>
  <si>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</si>
  <si>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</si>
  <si>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</si>
  <si>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</si>
  <si>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</si>
  <si>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</si>
  <si>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</si>
  <si>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</si>
  <si>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</si>
  <si>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</si>
  <si>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</si>
  <si>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</si>
  <si>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</si>
  <si>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</si>
  <si>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</si>
  <si>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</si>
  <si>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</si>
  <si>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</si>
  <si>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</si>
  <si>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</si>
  <si>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</si>
  <si>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</si>
  <si>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</si>
  <si>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</si>
  <si>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</si>
  <si>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</si>
  <si>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</si>
  <si>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</si>
  <si>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</si>
  <si>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</si>
  <si>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</si>
  <si>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</si>
  <si>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</si>
  <si>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</si>
  <si>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</si>
  <si>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</si>
  <si>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</si>
  <si>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</si>
  <si>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</si>
  <si>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</si>
  <si>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</si>
  <si>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</si>
  <si>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</si>
  <si>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</si>
  <si>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</si>
  <si>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</si>
  <si>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</si>
  <si>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</si>
  <si>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</si>
  <si>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</si>
  <si>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</si>
  <si>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</si>
  <si>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</si>
  <si>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</si>
  <si>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</si>
  <si>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</si>
  <si>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</si>
  <si>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</si>
  <si>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</si>
  <si>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</si>
  <si>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</si>
  <si>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</si>
  <si>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</si>
  <si>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</si>
  <si>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</si>
  <si>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</si>
  <si>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</si>
  <si>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</si>
  <si>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</si>
  <si>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</si>
  <si>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</si>
  <si>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</si>
  <si>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</si>
  <si>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</si>
  <si>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</si>
  <si>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</si>
  <si>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</si>
  <si>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</si>
  <si>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</si>
  <si>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</si>
  <si>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</si>
  <si>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</si>
  <si>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</si>
  <si>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</si>
  <si>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</si>
  <si>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</si>
  <si>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</si>
  <si>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</si>
  <si>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</si>
  <si>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</si>
  <si>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</si>
  <si>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</si>
  <si>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</si>
  <si>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</si>
  <si>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</si>
  <si>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</si>
  <si>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</si>
  <si>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</si>
  <si>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</si>
  <si>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</si>
  <si>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</si>
  <si>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</si>
  <si>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</si>
  <si>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</si>
  <si>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</si>
  <si>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</si>
  <si>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</si>
  <si>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</si>
  <si>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</si>
  <si>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</si>
  <si>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</si>
  <si>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</si>
  <si>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</si>
  <si>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</si>
  <si>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</si>
  <si>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</si>
  <si>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</si>
  <si>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</si>
  <si>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</si>
  <si>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</si>
  <si>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</si>
  <si>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</si>
  <si>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</si>
  <si>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</si>
  <si>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</si>
  <si>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</si>
  <si>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</si>
  <si>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</si>
  <si>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</si>
  <si>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</si>
  <si>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</si>
  <si>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</si>
  <si>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</si>
  <si>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</si>
  <si>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</si>
  <si>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</si>
  <si>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</si>
  <si>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</si>
  <si>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</si>
  <si>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</si>
  <si>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</si>
  <si>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</si>
  <si>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</si>
  <si>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</si>
  <si>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</si>
  <si>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</si>
  <si>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</si>
  <si>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</si>
  <si>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</si>
  <si>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</si>
  <si>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</si>
  <si>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</si>
  <si>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</si>
  <si>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</si>
  <si>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</si>
  <si>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</si>
  <si>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</si>
  <si>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</si>
  <si>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</si>
  <si>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</si>
  <si>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</si>
  <si>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</si>
  <si>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</si>
  <si>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</si>
  <si>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</si>
  <si>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</si>
  <si>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</si>
  <si>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</si>
  <si>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</si>
  <si>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</si>
  <si>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</si>
  <si>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</si>
  <si>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</si>
  <si>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</si>
  <si>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</si>
  <si>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</si>
  <si>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</si>
  <si>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</si>
  <si>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</si>
  <si>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</si>
  <si>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</si>
  <si>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</si>
  <si>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</si>
  <si>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</si>
  <si>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</si>
  <si>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</si>
  <si>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</si>
  <si>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</si>
  <si>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</si>
  <si>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</si>
  <si>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</si>
  <si>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</si>
  <si>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</si>
  <si>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</si>
  <si>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</si>
  <si>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</si>
  <si>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</si>
  <si>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</si>
  <si>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</si>
  <si>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</si>
  <si>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</si>
  <si>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</si>
  <si>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</si>
  <si>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</si>
  <si>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</si>
  <si>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</si>
  <si>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</si>
  <si>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</si>
  <si>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</si>
  <si>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</si>
  <si>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</si>
  <si>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</si>
  <si>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</si>
  <si>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</si>
  <si>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</si>
  <si>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</si>
  <si>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</si>
  <si>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</si>
  <si>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</si>
  <si>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</si>
  <si>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</si>
  <si>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</si>
  <si>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</si>
  <si>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</si>
  <si>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</si>
  <si>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</si>
  <si>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</si>
  <si>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</si>
  <si>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</si>
  <si>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</si>
  <si>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</si>
  <si>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</si>
  <si>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</si>
  <si>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</si>
  <si>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</si>
  <si>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</si>
  <si>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</si>
  <si>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</si>
  <si>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</si>
  <si>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</si>
  <si>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</si>
  <si>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</si>
  <si>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</si>
  <si>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</si>
  <si>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</si>
  <si>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</si>
  <si>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</si>
  <si>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</si>
  <si>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</si>
  <si>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</si>
  <si>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</si>
  <si>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</si>
  <si>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</si>
  <si>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</si>
  <si>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</si>
  <si>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</si>
  <si>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</si>
  <si>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</si>
  <si>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</si>
  <si>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</si>
  <si>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</si>
  <si>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</si>
  <si>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</si>
  <si>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</si>
  <si>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</si>
  <si>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</si>
  <si>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</si>
  <si>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</si>
  <si>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</si>
  <si>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</si>
  <si>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</si>
  <si>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</si>
  <si>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</si>
  <si>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</si>
  <si>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</si>
  <si>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</si>
  <si>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</si>
  <si>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</si>
  <si>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</si>
  <si>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</si>
  <si>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</si>
  <si>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</si>
  <si>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</si>
  <si>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</si>
  <si>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</si>
  <si>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</si>
  <si>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</si>
  <si>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</si>
  <si>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</si>
  <si>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</si>
  <si>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</si>
  <si>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</si>
  <si>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</si>
  <si>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</si>
  <si>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</si>
  <si>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</si>
  <si>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</si>
  <si>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</si>
  <si>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</si>
  <si>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</si>
  <si>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</si>
  <si>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</si>
  <si>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</si>
  <si>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</si>
  <si>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</si>
  <si>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</si>
  <si>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</si>
  <si>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</si>
  <si>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</si>
  <si>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</si>
  <si>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</si>
  <si>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</si>
  <si>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</si>
  <si>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</si>
  <si>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</si>
  <si>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</si>
  <si>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</si>
  <si>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</si>
  <si>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</si>
  <si>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</si>
  <si>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</si>
  <si>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</si>
  <si>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</si>
  <si>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</si>
  <si>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</si>
  <si>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</si>
  <si>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</si>
  <si>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</si>
  <si>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</si>
  <si>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</si>
  <si>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</si>
  <si>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</si>
  <si>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</si>
  <si>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</si>
  <si>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</si>
  <si>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</si>
  <si>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</si>
  <si>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</si>
  <si>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</si>
  <si>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</si>
  <si>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</si>
  <si>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</si>
  <si>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</si>
  <si>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</si>
  <si>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</si>
  <si>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</si>
  <si>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</si>
  <si>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</si>
  <si>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</si>
  <si>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</si>
  <si>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</si>
  <si>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</si>
  <si>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</si>
  <si>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</si>
  <si>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</si>
  <si>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</si>
  <si>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</si>
  <si>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</si>
  <si>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</si>
  <si>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</si>
  <si>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</si>
  <si>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</si>
  <si>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</si>
  <si>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</si>
  <si>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</si>
  <si>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</si>
  <si>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</si>
  <si>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</si>
  <si>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</si>
  <si>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</si>
  <si>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</si>
  <si>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</si>
  <si>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</si>
  <si>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</si>
  <si>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</si>
  <si>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</si>
  <si>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</si>
  <si>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</si>
  <si>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</si>
  <si>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</si>
  <si>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</si>
  <si>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</si>
  <si>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</si>
  <si>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</si>
  <si>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</si>
  <si>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</si>
  <si>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</si>
  <si>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</si>
  <si>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</si>
  <si>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</si>
  <si>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</si>
  <si>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</si>
  <si>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</si>
  <si>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</si>
  <si>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</si>
  <si>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</si>
  <si>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</si>
  <si>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</si>
  <si>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</si>
  <si>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</si>
  <si>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</si>
  <si>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</si>
  <si>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</si>
  <si>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</si>
  <si>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</si>
  <si>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</si>
  <si>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</si>
  <si>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</si>
  <si>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</si>
  <si>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</si>
  <si>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</si>
  <si>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</si>
  <si>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</si>
  <si>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</si>
  <si>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</si>
  <si>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</si>
  <si>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</si>
  <si>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</si>
  <si>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</si>
  <si>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</si>
  <si>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</si>
  <si>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</si>
  <si>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</si>
  <si>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</si>
  <si>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</si>
  <si>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</si>
  <si>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</si>
  <si>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</si>
  <si>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</si>
  <si>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</si>
  <si>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</si>
  <si>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</si>
  <si>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</si>
  <si>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</si>
  <si>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</si>
  <si>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</si>
  <si>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</si>
  <si>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</si>
  <si>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</si>
  <si>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</si>
  <si>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</si>
  <si>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</si>
  <si>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</si>
  <si>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</si>
  <si>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</si>
  <si>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</si>
  <si>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</si>
  <si>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</si>
  <si>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</si>
  <si>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</si>
  <si>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</si>
  <si>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</si>
  <si>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</si>
  <si>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</si>
  <si>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</si>
  <si>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</si>
  <si>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</si>
  <si>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</si>
  <si>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</si>
  <si>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</si>
  <si>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</si>
  <si>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</si>
  <si>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</si>
  <si>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</si>
  <si>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</si>
  <si>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</si>
  <si>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</si>
  <si>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</si>
  <si>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</si>
  <si>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</si>
  <si>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</si>
  <si>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</si>
  <si>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</si>
  <si>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</si>
  <si>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</si>
  <si>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</si>
  <si>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</si>
  <si>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</si>
  <si>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</si>
  <si>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</si>
  <si>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</si>
  <si>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</si>
  <si>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</si>
  <si>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</si>
  <si>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</si>
  <si>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</si>
  <si>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</si>
  <si>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</si>
  <si>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</si>
  <si>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</si>
  <si>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</si>
  <si>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</si>
  <si>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</si>
  <si>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</si>
  <si>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</si>
  <si>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</si>
  <si>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</si>
  <si>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</si>
  <si>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</si>
  <si>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</si>
  <si>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</si>
  <si>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</si>
  <si>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</si>
  <si>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</si>
  <si>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</si>
  <si>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</si>
  <si>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</si>
  <si>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</si>
  <si>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</si>
  <si>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</si>
  <si>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</si>
  <si>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</si>
  <si>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</si>
  <si>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</si>
  <si>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</si>
  <si>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</si>
  <si>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</si>
  <si>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</si>
  <si>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</si>
  <si>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</si>
  <si>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</si>
  <si>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</si>
  <si>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</si>
  <si>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</si>
  <si>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</si>
  <si>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</si>
  <si>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</si>
  <si>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</si>
  <si>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</si>
  <si>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</si>
  <si>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</si>
  <si>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</si>
  <si>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</si>
  <si>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</si>
  <si>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</si>
  <si>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</si>
  <si>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</si>
  <si>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</si>
  <si>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</si>
  <si>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</si>
  <si>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</si>
  <si>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</si>
  <si>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</si>
  <si>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</si>
  <si>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</si>
  <si>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</si>
  <si>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</si>
  <si>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</si>
  <si>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</si>
  <si>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</si>
  <si>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</si>
  <si>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</si>
  <si>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</si>
  <si>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</si>
  <si>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</si>
  <si>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</si>
  <si>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</si>
  <si>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</si>
  <si>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</si>
  <si>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</si>
  <si>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</si>
  <si>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</si>
  <si>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</si>
  <si>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</si>
  <si>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</si>
  <si>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</si>
  <si>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</si>
  <si>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</si>
  <si>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</si>
  <si>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</si>
  <si>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</si>
  <si>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</si>
  <si>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</si>
  <si>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</si>
  <si>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</si>
  <si>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</si>
  <si>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</si>
  <si>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</si>
  <si>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</si>
  <si>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</si>
  <si>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</si>
  <si>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</si>
  <si>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</si>
  <si>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</si>
  <si>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</si>
  <si>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</si>
  <si>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</si>
  <si>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</si>
  <si>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</si>
  <si>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</si>
  <si>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</si>
  <si>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</si>
  <si>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</si>
  <si>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</si>
  <si>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</si>
  <si>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</si>
  <si>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</si>
  <si>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</si>
  <si>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</si>
  <si>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</si>
  <si>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</si>
  <si>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</si>
  <si>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</si>
  <si>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</si>
  <si>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</si>
  <si>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</si>
  <si>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</si>
  <si>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</si>
  <si>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</si>
  <si>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</si>
  <si>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</si>
  <si>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</si>
  <si>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</si>
  <si>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</si>
  <si>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</si>
  <si>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</si>
  <si>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</si>
  <si>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</si>
  <si>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</si>
  <si>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</si>
  <si>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</si>
  <si>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</si>
  <si>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</si>
  <si>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</si>
  <si>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</si>
  <si>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</si>
  <si>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</si>
  <si>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</si>
  <si>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</si>
  <si>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</si>
  <si>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</si>
  <si>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</si>
  <si>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</si>
  <si>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</si>
  <si>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</si>
  <si>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</si>
  <si>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</si>
  <si>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</si>
  <si>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</si>
  <si>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</si>
  <si>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</si>
  <si>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</si>
  <si>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</si>
  <si>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</si>
  <si>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</si>
  <si>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</si>
  <si>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</si>
  <si>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</si>
  <si>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</si>
  <si>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</si>
  <si>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</si>
  <si>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</si>
  <si>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</si>
  <si>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</si>
  <si>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</si>
  <si>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</si>
  <si>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</si>
  <si>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</si>
  <si>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</si>
  <si>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</si>
  <si>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</si>
  <si>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</si>
  <si>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</si>
  <si>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</si>
  <si>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</si>
  <si>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</si>
  <si>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</si>
  <si>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</si>
  <si>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</si>
  <si>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</si>
  <si>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</si>
  <si>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</si>
  <si>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</si>
  <si>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</si>
  <si>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</si>
  <si>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</si>
  <si>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</si>
  <si>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</si>
  <si>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</si>
  <si>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</si>
  <si>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</si>
  <si>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</si>
  <si>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</si>
  <si>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</si>
  <si>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</si>
  <si>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</si>
  <si>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</si>
  <si>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</si>
  <si>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</si>
  <si>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</si>
  <si>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</si>
  <si>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</si>
  <si>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</si>
  <si>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</si>
  <si>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</si>
  <si>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</si>
  <si>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</si>
  <si>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</si>
  <si>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</si>
  <si>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</si>
  <si>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</si>
  <si>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</si>
  <si>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</si>
  <si>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</si>
  <si>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</si>
  <si>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</si>
  <si>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</si>
  <si>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</si>
  <si>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</si>
  <si>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</si>
  <si>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</si>
  <si>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</si>
  <si>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</si>
  <si>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</si>
  <si>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</si>
  <si>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</si>
  <si>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</si>
  <si>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</si>
  <si>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</si>
  <si>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</si>
  <si>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</si>
  <si>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</si>
  <si>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</si>
  <si>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</si>
  <si>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</si>
  <si>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</si>
  <si>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</si>
  <si>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</si>
  <si>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</si>
  <si>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</si>
  <si>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</si>
  <si>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</si>
  <si>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</si>
  <si>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</si>
  <si>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</si>
  <si>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</si>
  <si>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</si>
  <si>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</si>
  <si>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</si>
  <si>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</si>
  <si>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</si>
  <si>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</si>
  <si>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</si>
  <si>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</si>
  <si>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</si>
  <si>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</si>
  <si>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</si>
  <si>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</si>
  <si>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</si>
  <si>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</si>
  <si>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</si>
  <si>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</si>
  <si>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</si>
  <si>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</si>
  <si>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</si>
  <si>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</si>
  <si>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</si>
  <si>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</si>
  <si>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</si>
  <si>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</si>
  <si>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</si>
  <si>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</si>
  <si>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</si>
  <si>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</si>
  <si>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</si>
  <si>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</si>
  <si>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</si>
  <si>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</si>
  <si>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</si>
  <si>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</si>
  <si>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</si>
  <si>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</si>
  <si>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</si>
  <si>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</si>
  <si>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</si>
  <si>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</si>
  <si>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</si>
  <si>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</si>
  <si>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</si>
  <si>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</si>
  <si>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</si>
  <si>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</si>
  <si>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</si>
  <si>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</si>
  <si>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</si>
  <si>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</si>
  <si>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</si>
  <si>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</si>
  <si>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</si>
  <si>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</si>
  <si>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</si>
  <si>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</si>
  <si>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</si>
  <si>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</si>
  <si>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</si>
  <si>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</si>
  <si>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</si>
  <si>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</si>
  <si>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</si>
  <si>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</si>
  <si>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</si>
  <si>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</si>
  <si>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</si>
  <si>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</si>
  <si>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</si>
  <si>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</si>
  <si>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</si>
  <si>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</si>
  <si>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</si>
  <si>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</si>
  <si>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</si>
  <si>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</si>
  <si>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</si>
  <si>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</si>
  <si>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</si>
  <si>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</si>
  <si>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</si>
  <si>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</si>
  <si>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</si>
  <si>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</si>
  <si>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</si>
  <si>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</si>
  <si>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</si>
  <si>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</si>
  <si>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</si>
  <si>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</si>
  <si>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</si>
  <si>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</si>
  <si>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</si>
  <si>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</si>
  <si>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</si>
  <si>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</si>
  <si>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</si>
  <si>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</si>
  <si>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</si>
  <si>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</si>
  <si>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</si>
  <si>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</si>
  <si>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</si>
  <si>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</si>
  <si>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</si>
  <si>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</si>
  <si>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</si>
  <si>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</si>
  <si>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</si>
  <si>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</si>
  <si>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</si>
  <si>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</si>
  <si>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</si>
  <si>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</si>
  <si>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</si>
  <si>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</si>
  <si>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</si>
  <si>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</si>
  <si>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</si>
  <si>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</si>
  <si>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</si>
  <si>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</si>
  <si>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</si>
  <si>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</si>
  <si>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</si>
  <si>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</si>
  <si>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</si>
  <si>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</si>
  <si>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</si>
  <si>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</si>
  <si>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</si>
  <si>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</si>
  <si>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</si>
  <si>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</si>
  <si>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</si>
  <si>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</si>
  <si>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</si>
  <si>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</si>
  <si>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</si>
  <si>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</si>
  <si>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</si>
  <si>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</si>
  <si>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</si>
  <si>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</si>
  <si>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</si>
  <si>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</si>
  <si>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</si>
  <si>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</si>
  <si>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</si>
  <si>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</si>
  <si>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</si>
  <si>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</si>
  <si>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</si>
  <si>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</si>
  <si>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</si>
  <si>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</si>
  <si>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</si>
  <si>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</si>
  <si>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</si>
  <si>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</si>
  <si>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</si>
  <si>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</si>
  <si>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</si>
  <si>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</si>
  <si>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</si>
  <si>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</si>
  <si>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</si>
  <si>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</si>
  <si>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</si>
  <si>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</si>
  <si>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</si>
  <si>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</si>
  <si>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</si>
  <si>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</si>
  <si>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</si>
  <si>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</si>
  <si>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</si>
  <si>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</si>
  <si>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</si>
  <si>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</si>
  <si>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</si>
  <si>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</si>
  <si>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</si>
  <si>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</si>
  <si>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</si>
  <si>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</si>
  <si>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</si>
  <si>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</si>
  <si>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</si>
  <si>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</si>
  <si>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</si>
  <si>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</si>
  <si>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</si>
  <si>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</si>
  <si>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</si>
  <si>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</si>
  <si>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</si>
  <si>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</si>
  <si>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</si>
  <si>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</si>
  <si>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</si>
  <si>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</si>
  <si>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</si>
  <si>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</si>
  <si>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</si>
  <si>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</si>
  <si>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</si>
  <si>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</si>
  <si>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</si>
  <si>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</si>
  <si>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</si>
  <si>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</si>
  <si>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</si>
  <si>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</si>
  <si>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</si>
  <si>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</si>
  <si>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</si>
  <si>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</si>
  <si>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</si>
  <si>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</si>
  <si>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</si>
  <si>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</si>
  <si>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</si>
  <si>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</si>
  <si>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</si>
  <si>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</si>
  <si>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</si>
  <si>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</si>
  <si>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</si>
  <si>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</si>
  <si>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</si>
  <si>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</si>
  <si>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</si>
  <si>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</si>
  <si>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</si>
  <si>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</si>
  <si>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</si>
  <si>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</si>
  <si>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</si>
  <si>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</si>
  <si>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</si>
  <si>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</si>
  <si>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</si>
  <si>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</si>
  <si>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</si>
  <si>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</si>
  <si>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</si>
  <si>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</si>
  <si>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</si>
  <si>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</si>
  <si>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</si>
  <si>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</si>
  <si>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</si>
  <si>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</si>
  <si>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</si>
  <si>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</si>
  <si>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</si>
  <si>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</si>
  <si>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</si>
  <si>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</si>
  <si>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</si>
  <si>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</si>
  <si>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</si>
  <si>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</si>
  <si>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</si>
  <si>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</si>
  <si>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</si>
  <si>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</si>
  <si>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</si>
  <si>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</si>
  <si>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</si>
  <si>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</si>
  <si>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</si>
  <si>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</si>
  <si>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</si>
  <si>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</si>
  <si>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</si>
  <si>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</si>
  <si>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</si>
  <si>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</si>
  <si>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</si>
  <si>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</si>
  <si>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</si>
  <si>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</si>
  <si>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</si>
  <si>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</si>
  <si>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</si>
  <si>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</si>
  <si>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</si>
  <si>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</si>
  <si>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</si>
  <si>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</si>
  <si>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</si>
  <si>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</si>
  <si>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</si>
  <si>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</si>
  <si>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</si>
  <si>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</si>
  <si>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</si>
  <si>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</si>
  <si>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</si>
  <si>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</si>
  <si>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</si>
  <si>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</si>
  <si>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</si>
  <si>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</si>
  <si>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</si>
  <si>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</si>
  <si>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</si>
  <si>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</si>
  <si>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</si>
  <si>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</si>
  <si>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</si>
  <si>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</si>
  <si>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</si>
  <si>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</si>
  <si>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</si>
  <si>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</si>
  <si>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</si>
  <si>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</si>
  <si>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</si>
  <si>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</si>
  <si>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</si>
  <si>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</si>
  <si>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</si>
  <si>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</si>
  <si>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</si>
  <si>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</si>
  <si>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</si>
  <si>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</si>
  <si>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</si>
  <si>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</si>
  <si>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</si>
  <si>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</si>
  <si>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</si>
  <si>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</si>
  <si>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</si>
  <si>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</si>
  <si>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</si>
  <si>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</si>
  <si>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</si>
  <si>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</si>
  <si>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</si>
  <si>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</si>
  <si>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</si>
  <si>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</si>
  <si>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</si>
  <si>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</si>
  <si>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</si>
  <si>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</si>
  <si>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</si>
  <si>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</si>
  <si>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</si>
  <si>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</si>
  <si>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</si>
  <si>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</si>
  <si>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</si>
  <si>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</si>
  <si>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</si>
  <si>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</si>
  <si>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</si>
  <si>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</si>
  <si>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</si>
  <si>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</si>
  <si>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</si>
  <si>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</si>
  <si>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</si>
  <si>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</si>
  <si>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</si>
  <si>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</si>
  <si>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</si>
  <si>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</si>
  <si>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</si>
  <si>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</si>
  <si>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</si>
  <si>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</si>
  <si>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</si>
  <si>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</si>
  <si>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</si>
  <si>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</si>
  <si>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</si>
  <si>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</si>
  <si>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</si>
  <si>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</si>
  <si>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</si>
  <si>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</si>
  <si>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</si>
  <si>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</si>
  <si>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</si>
  <si>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</si>
  <si>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</si>
  <si>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</si>
  <si>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</si>
  <si>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</si>
  <si>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</si>
  <si>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</si>
  <si>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</si>
  <si>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</si>
  <si>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</si>
  <si>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</si>
  <si>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</si>
  <si>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</si>
  <si>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</si>
  <si>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</si>
  <si>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</si>
  <si>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</si>
  <si>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</si>
  <si>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</si>
  <si>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</si>
  <si>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</si>
  <si>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</si>
  <si>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</si>
  <si>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</si>
  <si>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</si>
  <si>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</si>
  <si>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</si>
  <si>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</si>
  <si>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</si>
  <si>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</si>
  <si>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</si>
  <si>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</si>
  <si>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</si>
  <si>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</si>
  <si>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</si>
  <si>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</si>
  <si>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</si>
  <si>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</si>
  <si>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</si>
  <si>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</si>
  <si>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</si>
  <si>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</si>
  <si>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</si>
  <si>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</si>
  <si>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</si>
  <si>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</si>
  <si>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</si>
  <si>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</si>
  <si>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</si>
  <si>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</si>
  <si>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</si>
  <si>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</si>
  <si>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</si>
  <si>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</si>
  <si>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</si>
  <si>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</si>
  <si>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</si>
  <si>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</si>
  <si>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</si>
  <si>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</si>
  <si>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</si>
  <si>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</si>
  <si>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</si>
  <si>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</si>
  <si>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</si>
  <si>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</si>
  <si>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</si>
  <si>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</si>
  <si>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</si>
  <si>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</si>
  <si>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</si>
  <si>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</si>
  <si>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</si>
  <si>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</si>
  <si>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</si>
  <si>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</si>
  <si>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</si>
  <si>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</si>
  <si>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</si>
  <si>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</si>
  <si>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</si>
  <si>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</si>
  <si>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</si>
  <si>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</si>
  <si>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</si>
  <si>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</si>
  <si>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</si>
  <si>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</si>
  <si>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</si>
  <si>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</si>
  <si>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</si>
  <si>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</si>
  <si>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</si>
  <si>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</si>
  <si>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</si>
  <si>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</si>
  <si>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</si>
  <si>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</si>
  <si>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</si>
  <si>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</si>
  <si>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</si>
  <si>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</si>
  <si>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</si>
  <si>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</si>
  <si>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</si>
  <si>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</si>
  <si>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</si>
  <si>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</si>
  <si>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</si>
  <si>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</si>
  <si>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</si>
  <si>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</si>
  <si>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</si>
  <si>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</si>
  <si>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</si>
  <si>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</si>
  <si>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</si>
  <si>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</si>
  <si>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</si>
  <si>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</si>
  <si>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</si>
  <si>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</si>
  <si>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</si>
  <si>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</si>
  <si>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</si>
  <si>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</si>
  <si>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</si>
  <si>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</si>
  <si>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</si>
  <si>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</si>
  <si>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</si>
  <si>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</si>
  <si>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</si>
  <si>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</si>
  <si>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</si>
  <si>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</si>
  <si>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</si>
  <si>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</si>
  <si>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</si>
  <si>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</si>
  <si>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</si>
  <si>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</si>
  <si>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</si>
  <si>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</si>
  <si>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</si>
  <si>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</si>
  <si>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</si>
  <si>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</si>
  <si>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</si>
  <si>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</si>
  <si>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</si>
  <si>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</si>
  <si>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</si>
  <si>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</si>
  <si>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</si>
  <si>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</si>
  <si>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</si>
  <si>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</si>
  <si>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</si>
  <si>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</si>
  <si>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</si>
  <si>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</si>
  <si>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</si>
  <si>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</si>
  <si>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</si>
  <si>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</si>
  <si>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</si>
  <si>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</si>
  <si>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</si>
  <si>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</si>
  <si>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</si>
  <si>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</si>
  <si>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</si>
  <si>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</si>
  <si>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</si>
  <si>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</si>
  <si>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</si>
  <si>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</si>
  <si>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</si>
  <si>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</si>
  <si>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</si>
  <si>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</si>
  <si>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</si>
  <si>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</si>
  <si>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</si>
  <si>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</si>
  <si>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</si>
  <si>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</si>
  <si>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</si>
  <si>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</si>
  <si>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</si>
  <si>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</si>
  <si>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</si>
  <si>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</si>
  <si>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</si>
  <si>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</si>
  <si>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</si>
  <si>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</si>
  <si>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</si>
  <si>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</si>
  <si>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</si>
  <si>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</si>
  <si>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</si>
  <si>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</si>
  <si>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</si>
  <si>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</si>
  <si>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</si>
  <si>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</si>
  <si>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</si>
  <si>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</si>
  <si>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</si>
  <si>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</si>
  <si>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</si>
  <si>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</si>
  <si>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</si>
  <si>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</si>
  <si>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</si>
  <si>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</si>
  <si>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</si>
  <si>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</si>
  <si>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</si>
  <si>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</si>
  <si>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</si>
  <si>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</si>
  <si>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</si>
  <si>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</si>
  <si>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</si>
  <si>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</si>
  <si>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</si>
  <si>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</si>
  <si>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</si>
  <si>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</si>
  <si>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</si>
  <si>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</si>
  <si>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</si>
  <si>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</si>
  <si>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</si>
  <si>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</si>
  <si>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</si>
  <si>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</si>
  <si>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</si>
  <si>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</si>
  <si>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</si>
  <si>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</si>
  <si>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</si>
  <si>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</si>
  <si>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</si>
  <si>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</si>
  <si>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</si>
  <si>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</si>
  <si>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</si>
  <si>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</si>
  <si>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</si>
  <si>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</si>
  <si>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</si>
  <si>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</si>
  <si>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</si>
  <si>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</si>
  <si>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</si>
  <si>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</si>
  <si>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</si>
  <si>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</si>
  <si>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</si>
  <si>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</si>
  <si>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</si>
  <si>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</si>
  <si>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</si>
  <si>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</si>
  <si>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</si>
  <si>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</si>
  <si>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</si>
  <si>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</si>
  <si>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</si>
  <si>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</si>
  <si>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</si>
  <si>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</si>
  <si>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</si>
  <si>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</si>
  <si>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</si>
  <si>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</si>
  <si>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</si>
  <si>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</si>
  <si>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</si>
  <si>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</si>
  <si>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</si>
  <si>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</si>
  <si>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</si>
  <si>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</si>
  <si>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</si>
  <si>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</si>
  <si>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</si>
  <si>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</si>
  <si>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</si>
  <si>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</si>
  <si>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</si>
  <si>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</si>
  <si>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</si>
  <si>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</si>
  <si>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</si>
  <si>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</si>
  <si>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</si>
  <si>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</si>
  <si>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</si>
  <si>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</si>
  <si>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</si>
  <si>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</si>
  <si>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</si>
  <si>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</si>
  <si>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</si>
  <si>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</si>
  <si>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</si>
  <si>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</si>
  <si>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</si>
  <si>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</si>
  <si>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</si>
  <si>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</si>
  <si>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</si>
  <si>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</si>
  <si>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</si>
  <si>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</si>
  <si>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</si>
  <si>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</si>
  <si>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</si>
  <si>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</si>
  <si>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</si>
  <si>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</si>
  <si>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</si>
  <si>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</si>
  <si>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</si>
  <si>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</si>
  <si>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</si>
  <si>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</si>
  <si>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</si>
  <si>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</si>
  <si>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</si>
  <si>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</si>
  <si>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</si>
  <si>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</si>
  <si>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</si>
  <si>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</si>
  <si>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</si>
  <si>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</si>
  <si>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</si>
  <si>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</si>
  <si>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</si>
  <si>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</si>
  <si>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</si>
  <si>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</si>
  <si>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</si>
  <si>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</si>
  <si>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</si>
  <si>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</si>
  <si>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</si>
  <si>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</si>
  <si>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</si>
  <si>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</si>
  <si>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</si>
  <si>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</si>
  <si>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</si>
  <si>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</si>
  <si>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</si>
  <si>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</si>
  <si>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</si>
  <si>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</si>
  <si>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</si>
  <si>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</si>
  <si>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</si>
  <si>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</si>
  <si>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</si>
  <si>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</si>
  <si>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</si>
  <si>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</si>
  <si>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</si>
  <si>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</si>
  <si>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</si>
  <si>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</si>
  <si>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</si>
  <si>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</si>
  <si>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</si>
  <si>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</si>
  <si>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</si>
  <si>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</si>
  <si>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</si>
  <si>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</si>
  <si>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</si>
  <si>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</si>
  <si>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</si>
  <si>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</si>
  <si>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</si>
  <si>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</si>
  <si>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</si>
  <si>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</si>
  <si>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</si>
  <si>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</si>
  <si>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</si>
  <si>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</si>
  <si>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</si>
  <si>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</si>
  <si>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</si>
  <si>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</si>
  <si>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</si>
  <si>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</si>
  <si>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</si>
  <si>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</si>
  <si>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</si>
  <si>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</si>
  <si>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</si>
  <si>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</si>
  <si>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</si>
  <si>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</si>
  <si>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</si>
  <si>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</si>
  <si>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</si>
  <si>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</si>
  <si>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</si>
  <si>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</si>
  <si>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</si>
  <si>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</si>
  <si>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</si>
  <si>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</si>
  <si>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</si>
  <si>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</si>
  <si>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</si>
  <si>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</si>
  <si>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</si>
  <si>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</si>
  <si>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</si>
  <si>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</si>
  <si>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</si>
  <si>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</si>
  <si>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</si>
  <si>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</si>
  <si>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</si>
  <si>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</si>
  <si>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</si>
  <si>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</si>
  <si>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</si>
  <si>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</si>
  <si>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</si>
  <si>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</si>
  <si>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</si>
  <si>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</si>
  <si>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</si>
  <si>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</si>
  <si>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</si>
  <si>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</si>
  <si>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</si>
  <si>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</si>
  <si>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</si>
  <si>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</si>
  <si>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</si>
  <si>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</si>
  <si>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</si>
  <si>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</si>
  <si>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</si>
  <si>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</si>
  <si>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</si>
  <si>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</si>
  <si>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</si>
  <si>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</si>
  <si>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</si>
  <si>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</si>
  <si>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</si>
  <si>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</si>
  <si>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</si>
  <si>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</si>
  <si>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</si>
  <si>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</si>
  <si>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</si>
  <si>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</si>
  <si>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</si>
  <si>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</si>
  <si>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</si>
  <si>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</si>
  <si>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</si>
  <si>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</si>
  <si>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</si>
  <si>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</si>
  <si>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</si>
  <si>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</si>
  <si>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</si>
  <si>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</si>
  <si>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</si>
  <si>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</si>
  <si>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</si>
  <si>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</si>
  <si>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</si>
  <si>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</si>
  <si>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</si>
  <si>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</si>
  <si>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</si>
  <si>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</si>
  <si>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</si>
  <si>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</si>
  <si>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</si>
  <si>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</si>
  <si>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</si>
  <si>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</si>
  <si>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</si>
  <si>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</si>
  <si>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</si>
  <si>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</si>
  <si>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</si>
  <si>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</si>
  <si>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</si>
  <si>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</si>
  <si>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</si>
  <si>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</si>
  <si>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</si>
  <si>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</si>
  <si>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quoteid</t>
  </si>
  <si>
    <t>QUO-01866-B7J1D2</t>
  </si>
  <si>
    <t>Green Dot Marketing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</si>
</sst>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164" formatCode="&quot;$&quot;#,##0_);\(&quot;$&quot;#,##0\)"/>
    <numFmt numFmtId="165" formatCode="&quot;$&quot;#,##0_);[Red]\(&quot;$&quot;#,##0\)"/>
    <numFmt numFmtId="166" formatCode="&quot;$&quot;#,##0.00_);\(&quot;$&quot;#,##0.00\)"/>
    <numFmt numFmtId="167" formatCode="&quot;$&quot;#,##0.00_);[Red]\(&quot;$&quot;#,##0.00\)"/>
    <numFmt numFmtId="168" formatCode="_(&quot;$&quot;* #,##0.00_);_(&quot;$&quot;* \(#,##0.00\);_(&quot;$&quot;* &quot;-&quot;??_);_(@_)"/>
    <numFmt numFmtId="169" formatCode="_(* #,##0.00_);_(* \(#,##0.00\);_(* &quot;-&quot;??_);_(@_)"/>
    <numFmt numFmtId="170" formatCode="_(&quot;$&quot;* #,##0_);_(&quot;$&quot;* \(#,##0\);_(&quot;$&quot;* &quot;-&quot;??_);_(@_)"/>
    <numFmt numFmtId="171" formatCode="&quot;$&quot;#,##0.00"/>
    <numFmt numFmtId="172" formatCode="0.0"/>
    <numFmt numFmtId="173" formatCode="[$$-409]#,##0.00"/>
    <numFmt numFmtId="174" formatCode="&quot;$&quot;#,##0"/>
    <numFmt numFmtId="175" formatCode="_-[$£-809]* #,##0_-;\-[$£-809]* #,##0_-;_-[$£-809]* &quot;-&quot;??_-;_-@_-"/>
    <numFmt numFmtId="176" formatCode="_([$€-2]\ * #,##0_);_([$€-2]\ * \(#,##0\);_([$€-2]\ * &quot;-&quot;??_);_(@_)"/>
    <numFmt numFmtId="177" formatCode="#,##0.0000"/>
    <numFmt numFmtId="178" formatCode="[$-409]mmm\ dd\,\ yyyy;@"/>
    <numFmt numFmtId="179" formatCode="&quot;$&quot;0.0,,&quot;M&quot;"/>
    <numFmt numFmtId="180" formatCode="&quot;$&quot;#,,&quot;M&quot;"/>
    <numFmt numFmtId="181" formatCode="0.0%"/>
    <numFmt numFmtId="182" formatCode="_(* #,##0_);_(* \(#,##0\);_(* &quot;-&quot;??_);_(@_)"/>
    <numFmt numFmtId="183" formatCode="dd\-mmm\-yyyy"/>
    <numFmt numFmtId="184" formatCode="&quot;$&quot;#,##0;\-#,##0;&quot;-&quot;"/>
    <numFmt numFmtId="185"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169" fontId="4" fillId="0" borderId="0" applyFont="0" applyFill="0" applyBorder="0" applyAlignment="0" applyProtection="0"/>
    <xf numFmtId="168"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168" fontId="4" fillId="0" borderId="0" applyFont="0" applyFill="0" applyBorder="0" applyAlignment="0" applyProtection="0"/>
    <xf numFmtId="0" fontId="65" fillId="0" borderId="0"/>
  </cellStyleXfs>
  <cellXfs count="2060">
    <xf numFmtId="0" fontId="0" fillId="0" borderId="0" xfId="0"/>
    <xf numFmtId="171"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72"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72"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71"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73"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74"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71"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7"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80"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73"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70" fontId="39" fillId="38" borderId="19" xfId="2" applyNumberFormat="1" applyFont="1" applyFill="1" applyBorder="1" applyAlignment="1" applyProtection="1">
      <alignment horizontal="right" vertical="center" wrapText="1" indent="2"/>
    </xf>
    <xf numFmtId="164" fontId="6" fillId="5" borderId="13" xfId="5" applyNumberFormat="1" applyFont="1" applyFill="1" applyBorder="1" applyAlignment="1" applyProtection="1">
      <alignment horizontal="right" vertical="center" wrapText="1" indent="2"/>
      <protection locked="0"/>
    </xf>
    <xf numFmtId="170"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70"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70"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70"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70"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70"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70" fontId="39" fillId="38" borderId="93" xfId="2" applyNumberFormat="1" applyFont="1" applyFill="1" applyBorder="1" applyAlignment="1">
      <alignment horizontal="right" vertical="center" wrapText="1" indent="2"/>
    </xf>
    <xf numFmtId="170" fontId="39" fillId="38" borderId="86" xfId="5" applyNumberFormat="1" applyFont="1" applyFill="1" applyBorder="1" applyAlignment="1">
      <alignment horizontal="right" vertical="center" wrapText="1" indent="2"/>
    </xf>
    <xf numFmtId="170" fontId="6" fillId="0" borderId="0" xfId="5" applyNumberFormat="1" applyFont="1" applyAlignment="1">
      <alignment horizontal="right" vertical="center" wrapText="1" indent="2"/>
    </xf>
    <xf numFmtId="170"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70" fontId="34" fillId="6" borderId="16" xfId="2" applyNumberFormat="1" applyFont="1" applyFill="1" applyBorder="1" applyProtection="1"/>
    <xf numFmtId="0" fontId="6" fillId="0" borderId="59" xfId="5" applyFont="1" applyBorder="1" applyAlignment="1">
      <alignment horizontal="center"/>
    </xf>
    <xf numFmtId="173" fontId="27" fillId="0" borderId="58" xfId="2" applyNumberFormat="1" applyFont="1" applyBorder="1" applyAlignment="1" applyProtection="1">
      <alignment vertical="center" wrapText="1"/>
      <protection locked="0"/>
    </xf>
    <xf numFmtId="173" fontId="27" fillId="0" borderId="55" xfId="2" applyNumberFormat="1" applyFont="1" applyBorder="1" applyAlignment="1" applyProtection="1">
      <alignment vertical="center" wrapText="1"/>
      <protection locked="0"/>
    </xf>
    <xf numFmtId="173" fontId="27" fillId="0" borderId="19" xfId="2" applyNumberFormat="1" applyFont="1" applyBorder="1" applyAlignment="1" applyProtection="1">
      <alignment vertical="center" wrapText="1"/>
      <protection locked="0"/>
    </xf>
    <xf numFmtId="173" fontId="27" fillId="0" borderId="14" xfId="2" applyNumberFormat="1" applyFont="1" applyBorder="1" applyAlignment="1" applyProtection="1">
      <alignment vertical="center" wrapText="1"/>
      <protection locked="0"/>
    </xf>
    <xf numFmtId="173" fontId="27" fillId="0" borderId="13" xfId="2" applyNumberFormat="1" applyFont="1" applyBorder="1" applyAlignment="1" applyProtection="1">
      <alignment vertical="center" wrapText="1"/>
      <protection locked="0"/>
    </xf>
    <xf numFmtId="170"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73" fontId="6" fillId="40" borderId="60" xfId="5" applyNumberFormat="1" applyFont="1" applyFill="1" applyBorder="1" applyAlignment="1" applyProtection="1">
      <alignment horizontal="center" wrapText="1"/>
      <protection locked="0"/>
    </xf>
    <xf numFmtId="170" fontId="27" fillId="41" borderId="16" xfId="2" applyNumberFormat="1" applyFont="1" applyFill="1" applyBorder="1" applyProtection="1"/>
    <xf numFmtId="0" fontId="34" fillId="0" borderId="0" xfId="5" applyFont="1" applyAlignment="1">
      <alignment horizontal="right" vertical="center"/>
    </xf>
    <xf numFmtId="164" fontId="6" fillId="0" borderId="3" xfId="5" applyNumberFormat="1" applyFont="1" applyBorder="1" applyAlignment="1">
      <alignment horizontal="right" indent="2"/>
    </xf>
    <xf numFmtId="181" fontId="27" fillId="0" borderId="3" xfId="6" applyNumberFormat="1" applyFont="1" applyBorder="1" applyAlignment="1" applyProtection="1">
      <alignment horizontal="right" indent="2"/>
    </xf>
    <xf numFmtId="0" fontId="6" fillId="0" borderId="60" xfId="5" applyFont="1" applyBorder="1" applyAlignment="1">
      <alignment horizontal="center"/>
    </xf>
    <xf numFmtId="170" fontId="27" fillId="40" borderId="18" xfId="2" applyNumberFormat="1" applyFont="1" applyFill="1" applyBorder="1" applyProtection="1"/>
    <xf numFmtId="0" fontId="87" fillId="0" borderId="0" xfId="5" applyFont="1" applyAlignment="1">
      <alignment horizontal="right" vertical="center"/>
    </xf>
    <xf numFmtId="164" fontId="87" fillId="7" borderId="3" xfId="5" applyNumberFormat="1" applyFont="1" applyFill="1" applyBorder="1" applyAlignment="1">
      <alignment horizontal="right" indent="2"/>
    </xf>
    <xf numFmtId="181" fontId="87" fillId="7" borderId="3" xfId="6" applyNumberFormat="1" applyFont="1" applyFill="1" applyBorder="1" applyAlignment="1" applyProtection="1">
      <alignment horizontal="right" indent="2"/>
    </xf>
    <xf numFmtId="181" fontId="27" fillId="31" borderId="3" xfId="6" applyNumberFormat="1" applyFont="1" applyFill="1" applyBorder="1" applyAlignment="1" applyProtection="1">
      <alignment horizontal="right" indent="2"/>
      <protection locked="0"/>
    </xf>
    <xf numFmtId="170" fontId="27" fillId="0" borderId="14" xfId="2" applyNumberFormat="1" applyFont="1" applyBorder="1" applyProtection="1"/>
    <xf numFmtId="0" fontId="34" fillId="0" borderId="0" xfId="5" applyFont="1"/>
    <xf numFmtId="170"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82"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82" fontId="27" fillId="0" borderId="88" xfId="1" applyNumberFormat="1" applyFont="1" applyBorder="1" applyProtection="1"/>
    <xf numFmtId="0" fontId="15" fillId="6" borderId="13" xfId="5" applyFont="1" applyFill="1" applyBorder="1" applyAlignment="1">
      <alignment vertical="center"/>
    </xf>
    <xf numFmtId="170"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70"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70"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74" fontId="6" fillId="4" borderId="0" xfId="0" applyNumberFormat="1" applyFont="1" applyFill="1" applyAlignment="1">
      <alignment horizontal="center"/>
    </xf>
    <xf numFmtId="174"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74" fontId="6" fillId="27" borderId="0" xfId="0" applyNumberFormat="1" applyFont="1" applyFill="1" applyAlignment="1">
      <alignment horizontal="center"/>
    </xf>
    <xf numFmtId="174" fontId="6" fillId="27" borderId="0" xfId="2" applyNumberFormat="1" applyFont="1" applyFill="1" applyBorder="1" applyAlignment="1">
      <alignment horizontal="center"/>
    </xf>
    <xf numFmtId="1" fontId="6" fillId="27" borderId="0" xfId="0" applyNumberFormat="1" applyFont="1" applyFill="1" applyAlignment="1">
      <alignment horizontal="center"/>
    </xf>
    <xf numFmtId="183"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74"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74"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75" fontId="6" fillId="0" borderId="65" xfId="0" applyNumberFormat="1" applyFont="1" applyBorder="1"/>
    <xf numFmtId="170"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70" fontId="6" fillId="0" borderId="65" xfId="2" applyNumberFormat="1" applyFont="1" applyFill="1" applyBorder="1"/>
    <xf numFmtId="170"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6"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71"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71"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70" fontId="6" fillId="16" borderId="0" xfId="2" applyNumberFormat="1" applyFont="1" applyFill="1" applyBorder="1"/>
    <xf numFmtId="170" fontId="54" fillId="16" borderId="0" xfId="2" applyNumberFormat="1" applyFont="1" applyFill="1" applyBorder="1" applyProtection="1">
      <protection locked="0"/>
    </xf>
    <xf numFmtId="170" fontId="51" fillId="16" borderId="0" xfId="2" applyNumberFormat="1" applyFont="1" applyFill="1" applyBorder="1"/>
    <xf numFmtId="170" fontId="6" fillId="16" borderId="0" xfId="2" applyNumberFormat="1" applyFont="1" applyFill="1" applyBorder="1" applyAlignment="1">
      <alignment vertical="center"/>
    </xf>
    <xf numFmtId="170"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70"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70"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70" fontId="26" fillId="16" borderId="0" xfId="2" applyNumberFormat="1" applyFont="1" applyFill="1" applyBorder="1" applyAlignment="1" applyProtection="1">
      <alignment horizontal="center" vertical="center"/>
      <protection locked="0"/>
    </xf>
    <xf numFmtId="170"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71" fontId="6" fillId="16" borderId="0" xfId="0" applyNumberFormat="1" applyFont="1" applyFill="1" applyProtection="1">
      <protection locked="0"/>
    </xf>
    <xf numFmtId="0" fontId="68" fillId="16" borderId="0" xfId="0" applyFont="1" applyFill="1" applyAlignment="1">
      <alignment vertical="center"/>
    </xf>
    <xf numFmtId="171" fontId="6" fillId="16" borderId="0" xfId="0" applyNumberFormat="1" applyFont="1" applyFill="1" applyAlignment="1">
      <alignment vertical="center"/>
    </xf>
    <xf numFmtId="2" fontId="6" fillId="16" borderId="0" xfId="0" applyNumberFormat="1" applyFont="1" applyFill="1" applyAlignment="1">
      <alignment horizontal="center" vertical="center"/>
    </xf>
    <xf numFmtId="171"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71" fontId="6" fillId="16" borderId="0" xfId="0" applyNumberFormat="1" applyFont="1" applyFill="1" applyAlignment="1" applyProtection="1">
      <alignment vertical="center"/>
      <protection locked="0"/>
    </xf>
    <xf numFmtId="0" fontId="0" fillId="16" borderId="0" xfId="0" applyFill="1" applyProtection="1">
      <protection locked="0"/>
    </xf>
    <xf numFmtId="171" fontId="6" fillId="16" borderId="50" xfId="0" applyNumberFormat="1" applyFont="1" applyFill="1" applyBorder="1"/>
    <xf numFmtId="2" fontId="6" fillId="16" borderId="50" xfId="0" applyNumberFormat="1" applyFont="1" applyFill="1" applyBorder="1" applyAlignment="1">
      <alignment horizontal="center" vertical="center"/>
    </xf>
    <xf numFmtId="171"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71"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72" fontId="21" fillId="16" borderId="0" xfId="0" applyNumberFormat="1" applyFont="1" applyFill="1" applyAlignment="1">
      <alignment horizontal="center"/>
    </xf>
    <xf numFmtId="172"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72" fontId="48" fillId="16" borderId="0" xfId="0" applyNumberFormat="1" applyFont="1" applyFill="1" applyAlignment="1" applyProtection="1">
      <alignment horizontal="left" vertical="center" wrapText="1"/>
      <protection locked="0"/>
    </xf>
    <xf numFmtId="172"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70"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74"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74"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70"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70" fontId="90" fillId="16" borderId="0" xfId="2"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70"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70" fontId="90" fillId="16" borderId="0" xfId="5" applyNumberFormat="1" applyFont="1" applyFill="1" applyAlignment="1" applyProtection="1">
      <alignment horizontal="right" vertical="center" wrapText="1" indent="2"/>
      <protection locked="0"/>
    </xf>
    <xf numFmtId="170" fontId="6" fillId="16" borderId="0" xfId="5" applyNumberFormat="1" applyFont="1" applyFill="1" applyAlignment="1" applyProtection="1">
      <alignment horizontal="right" vertical="center" wrapText="1" indent="2"/>
      <protection locked="0"/>
    </xf>
    <xf numFmtId="170"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70"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73"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70" fontId="22" fillId="16" borderId="0" xfId="2" applyNumberFormat="1" applyFont="1" applyFill="1" applyBorder="1" applyProtection="1">
      <protection locked="0"/>
    </xf>
    <xf numFmtId="173"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164"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164" fontId="55" fillId="16" borderId="0" xfId="5" applyNumberFormat="1" applyFont="1" applyFill="1" applyAlignment="1" applyProtection="1">
      <alignment horizontal="right" indent="2"/>
      <protection locked="0"/>
    </xf>
    <xf numFmtId="173"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168"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74"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74"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74"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70"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165"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74"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74"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166"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74"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70"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70"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70"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70"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70"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70"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70"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70"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70"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70"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168" fontId="6" fillId="0" borderId="3" xfId="2" applyFont="1" applyBorder="1" applyAlignment="1" applyProtection="1">
      <alignment horizontal="center"/>
    </xf>
    <xf numFmtId="170"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165"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167"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169" fontId="84" fillId="42" borderId="7" xfId="1" applyFont="1" applyFill="1" applyBorder="1" applyAlignment="1">
      <alignment vertical="center"/>
    </xf>
    <xf numFmtId="0" fontId="84" fillId="42" borderId="8" xfId="5" applyFont="1" applyFill="1" applyBorder="1" applyAlignment="1">
      <alignment vertical="center"/>
    </xf>
    <xf numFmtId="169"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169"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169"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169"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169" fontId="22" fillId="16" borderId="0" xfId="1" applyFont="1" applyFill="1" applyAlignment="1">
      <alignment vertical="center"/>
    </xf>
    <xf numFmtId="169" fontId="109" fillId="42" borderId="10" xfId="1" applyFont="1" applyFill="1" applyBorder="1" applyAlignment="1">
      <alignment vertical="center"/>
    </xf>
    <xf numFmtId="0" fontId="110" fillId="42" borderId="0" xfId="5" applyFont="1" applyFill="1" applyAlignment="1">
      <alignment vertical="center"/>
    </xf>
    <xf numFmtId="169"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169"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71"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74"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70"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70"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70"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71"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70" fontId="27" fillId="49" borderId="66" xfId="2" applyNumberFormat="1" applyFont="1" applyFill="1" applyBorder="1" applyProtection="1"/>
    <xf numFmtId="170"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70"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70"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70"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70" fontId="54" fillId="4" borderId="125" xfId="2" applyNumberFormat="1" applyFont="1" applyFill="1" applyBorder="1" applyAlignment="1" applyProtection="1">
      <alignment vertical="center"/>
      <protection locked="0"/>
    </xf>
    <xf numFmtId="170"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70"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70"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84" fontId="22" fillId="4" borderId="65" xfId="2" applyNumberFormat="1" applyFont="1" applyFill="1" applyBorder="1" applyAlignment="1">
      <alignment horizontal="center" vertical="center" wrapText="1"/>
    </xf>
    <xf numFmtId="184"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84" fontId="17" fillId="4" borderId="65" xfId="2" applyNumberFormat="1" applyFont="1" applyFill="1" applyBorder="1" applyAlignment="1">
      <alignment horizontal="center" vertical="center" wrapText="1"/>
    </xf>
    <xf numFmtId="174"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168" fontId="6" fillId="4" borderId="3" xfId="2" applyFont="1" applyFill="1" applyBorder="1" applyAlignment="1" applyProtection="1">
      <alignment horizontal="center" vertical="center"/>
    </xf>
    <xf numFmtId="168"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74" fontId="11" fillId="0" borderId="3" xfId="5" applyNumberFormat="1" applyFont="1" applyBorder="1" applyAlignment="1">
      <alignment horizontal="center" vertical="center"/>
    </xf>
    <xf numFmtId="184" fontId="22" fillId="4" borderId="130" xfId="2" applyNumberFormat="1" applyFont="1" applyFill="1" applyBorder="1" applyAlignment="1">
      <alignment horizontal="center" vertical="center" wrapText="1"/>
    </xf>
    <xf numFmtId="184"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84" fontId="17" fillId="4" borderId="119" xfId="2" applyNumberFormat="1" applyFont="1" applyFill="1" applyBorder="1" applyAlignment="1">
      <alignment horizontal="center" vertical="center" wrapText="1"/>
    </xf>
    <xf numFmtId="174"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84" fontId="22" fillId="4" borderId="136" xfId="2" applyNumberFormat="1" applyFont="1" applyFill="1" applyBorder="1" applyAlignment="1">
      <alignment horizontal="center" vertical="center" wrapText="1"/>
    </xf>
    <xf numFmtId="184"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74" fontId="54" fillId="4" borderId="65" xfId="2" applyNumberFormat="1" applyFont="1" applyFill="1" applyBorder="1" applyAlignment="1" applyProtection="1">
      <alignment horizontal="left"/>
      <protection locked="0"/>
    </xf>
    <xf numFmtId="0" fontId="6" fillId="4" borderId="124" xfId="0" applyFont="1" applyFill="1" applyBorder="1"/>
    <xf numFmtId="174"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71"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74"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70" fontId="54" fillId="4" borderId="124" xfId="2" applyNumberFormat="1" applyFont="1" applyFill="1" applyBorder="1" applyAlignment="1">
      <alignment vertical="center"/>
    </xf>
    <xf numFmtId="170"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74"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168"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168"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70" fontId="40" fillId="4" borderId="65" xfId="2" applyNumberFormat="1" applyFont="1" applyFill="1" applyBorder="1" applyAlignment="1">
      <alignment vertical="center"/>
    </xf>
    <xf numFmtId="170" fontId="52" fillId="4" borderId="65" xfId="2" applyNumberFormat="1" applyFont="1" applyFill="1" applyBorder="1" applyAlignment="1">
      <alignment horizontal="center" vertical="center"/>
    </xf>
    <xf numFmtId="168" fontId="52" fillId="4" borderId="65" xfId="2" applyFont="1" applyFill="1" applyBorder="1" applyAlignment="1">
      <alignment horizontal="center" vertical="center"/>
    </xf>
    <xf numFmtId="9" fontId="6" fillId="4" borderId="65" xfId="6" applyFont="1" applyFill="1" applyBorder="1"/>
    <xf numFmtId="170" fontId="6" fillId="4" borderId="65" xfId="2" applyNumberFormat="1" applyFont="1" applyFill="1" applyBorder="1"/>
    <xf numFmtId="174" fontId="6" fillId="4" borderId="65" xfId="2" applyNumberFormat="1" applyFont="1" applyFill="1" applyBorder="1"/>
    <xf numFmtId="1" fontId="6" fillId="4" borderId="65" xfId="6" applyNumberFormat="1" applyFont="1" applyFill="1" applyBorder="1"/>
    <xf numFmtId="174" fontId="49" fillId="4" borderId="65" xfId="2" applyNumberFormat="1" applyFont="1" applyFill="1" applyBorder="1" applyAlignment="1">
      <alignment horizontal="left"/>
    </xf>
    <xf numFmtId="0" fontId="21" fillId="4" borderId="124" xfId="0" applyFont="1" applyFill="1" applyBorder="1" applyAlignment="1">
      <alignment vertical="center"/>
    </xf>
    <xf numFmtId="170" fontId="40" fillId="4" borderId="130" xfId="2" applyNumberFormat="1" applyFont="1" applyFill="1" applyBorder="1" applyAlignment="1">
      <alignment vertical="center"/>
    </xf>
    <xf numFmtId="170" fontId="40" fillId="4" borderId="125" xfId="2" applyNumberFormat="1" applyFont="1" applyFill="1" applyBorder="1" applyAlignment="1">
      <alignment vertical="center"/>
    </xf>
    <xf numFmtId="0" fontId="21" fillId="4" borderId="126" xfId="0" applyFont="1" applyFill="1" applyBorder="1" applyAlignment="1">
      <alignment vertical="center"/>
    </xf>
    <xf numFmtId="170" fontId="40" fillId="4" borderId="127" xfId="2" applyNumberFormat="1" applyFont="1" applyFill="1" applyBorder="1" applyAlignment="1">
      <alignment vertical="center"/>
    </xf>
    <xf numFmtId="0" fontId="40" fillId="4" borderId="126" xfId="0" applyFont="1" applyFill="1" applyBorder="1" applyAlignment="1">
      <alignment vertical="center"/>
    </xf>
    <xf numFmtId="168"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70" fontId="41" fillId="4" borderId="138" xfId="2" applyNumberFormat="1" applyFont="1" applyFill="1" applyBorder="1" applyAlignment="1">
      <alignment vertical="center"/>
    </xf>
    <xf numFmtId="170"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70"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74" fontId="49" fillId="4" borderId="130" xfId="2" applyNumberFormat="1" applyFont="1" applyFill="1" applyBorder="1" applyAlignment="1">
      <alignment horizontal="left"/>
    </xf>
    <xf numFmtId="174" fontId="49" fillId="4" borderId="125" xfId="2" applyNumberFormat="1" applyFont="1" applyFill="1" applyBorder="1" applyAlignment="1">
      <alignment horizontal="left"/>
    </xf>
    <xf numFmtId="174" fontId="49" fillId="4" borderId="127" xfId="2" applyNumberFormat="1" applyFont="1" applyFill="1" applyBorder="1" applyAlignment="1">
      <alignment horizontal="left"/>
    </xf>
    <xf numFmtId="174" fontId="49" fillId="4" borderId="119" xfId="2" applyNumberFormat="1" applyFont="1" applyFill="1" applyBorder="1" applyAlignment="1">
      <alignment horizontal="left"/>
    </xf>
    <xf numFmtId="174"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169"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74"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74"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74" fontId="11" fillId="4" borderId="123" xfId="0" applyNumberFormat="1" applyFont="1" applyFill="1" applyBorder="1" applyAlignment="1" applyProtection="1">
      <alignment horizontal="left" vertical="center"/>
      <protection locked="0"/>
    </xf>
    <xf numFmtId="170"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71"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72"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74" fontId="6" fillId="4" borderId="65" xfId="17" applyNumberFormat="1" applyFont="1" applyFill="1" applyBorder="1" applyAlignment="1">
      <alignment horizontal="center"/>
    </xf>
    <xf numFmtId="174" fontId="6" fillId="4" borderId="127" xfId="17" applyNumberFormat="1" applyFont="1" applyFill="1" applyBorder="1" applyAlignment="1">
      <alignment horizontal="center"/>
    </xf>
    <xf numFmtId="174" fontId="6" fillId="4" borderId="119" xfId="7" applyNumberFormat="1" applyFont="1" applyFill="1" applyBorder="1" applyAlignment="1">
      <alignment horizontal="center"/>
    </xf>
    <xf numFmtId="174"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169"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72" fontId="26" fillId="16" borderId="0" xfId="0" applyNumberFormat="1" applyFont="1" applyFill="1" applyAlignment="1" applyProtection="1">
      <alignment vertical="top" wrapText="1"/>
      <protection locked="0"/>
    </xf>
    <xf numFmtId="170" fontId="54" fillId="47" borderId="5" xfId="2" applyNumberFormat="1" applyFont="1" applyFill="1" applyBorder="1" applyProtection="1">
      <protection locked="0"/>
    </xf>
    <xf numFmtId="170" fontId="54" fillId="47" borderId="3" xfId="2" applyNumberFormat="1" applyFont="1" applyFill="1" applyBorder="1" applyProtection="1">
      <protection locked="0"/>
    </xf>
    <xf numFmtId="170"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85"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74"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168"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84"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84" fontId="17" fillId="4" borderId="134" xfId="2" applyNumberFormat="1" applyFont="1" applyFill="1" applyBorder="1" applyAlignment="1">
      <alignment horizontal="center" vertical="center" wrapText="1"/>
    </xf>
    <xf numFmtId="174"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70"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169" fontId="22" fillId="16" borderId="0" xfId="1" applyFont="1" applyFill="1" applyBorder="1" applyAlignment="1">
      <alignment vertical="center"/>
    </xf>
    <xf numFmtId="0" fontId="106" fillId="16" borderId="191" xfId="5" applyFont="1" applyFill="1" applyBorder="1" applyAlignment="1">
      <alignment vertical="center"/>
    </xf>
    <xf numFmtId="169"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74"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74"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74" fontId="49" fillId="52" borderId="127" xfId="2" applyNumberFormat="1" applyFont="1" applyFill="1" applyBorder="1" applyAlignment="1">
      <alignment horizontal="left" vertical="center"/>
    </xf>
    <xf numFmtId="174" fontId="6" fillId="52" borderId="127" xfId="6" applyNumberFormat="1" applyFont="1" applyFill="1" applyBorder="1" applyAlignment="1" applyProtection="1">
      <alignment horizontal="left" vertical="center"/>
      <protection locked="0"/>
    </xf>
    <xf numFmtId="174" fontId="6" fillId="52" borderId="127" xfId="0" applyNumberFormat="1" applyFont="1" applyFill="1" applyBorder="1" applyAlignment="1">
      <alignment horizontal="left" vertical="center"/>
    </xf>
    <xf numFmtId="174" fontId="6" fillId="52" borderId="142" xfId="0" applyNumberFormat="1" applyFont="1" applyFill="1" applyBorder="1" applyAlignment="1">
      <alignment horizontal="left" vertical="center"/>
    </xf>
    <xf numFmtId="165" fontId="21" fillId="52" borderId="125" xfId="0" applyNumberFormat="1" applyFont="1" applyFill="1" applyBorder="1" applyAlignment="1">
      <alignment horizontal="left"/>
    </xf>
    <xf numFmtId="165" fontId="21" fillId="52" borderId="127" xfId="0" applyNumberFormat="1" applyFont="1" applyFill="1" applyBorder="1" applyAlignment="1">
      <alignment horizontal="left"/>
    </xf>
    <xf numFmtId="174" fontId="21" fillId="52" borderId="127" xfId="2" applyNumberFormat="1" applyFont="1" applyFill="1" applyBorder="1" applyAlignment="1">
      <alignment horizontal="left"/>
    </xf>
    <xf numFmtId="174" fontId="21" fillId="52" borderId="142" xfId="2" applyNumberFormat="1" applyFont="1" applyFill="1" applyBorder="1" applyAlignment="1">
      <alignment horizontal="left"/>
    </xf>
    <xf numFmtId="174" fontId="31" fillId="52" borderId="123" xfId="0" applyNumberFormat="1" applyFont="1" applyFill="1" applyBorder="1" applyAlignment="1">
      <alignment horizontal="left"/>
    </xf>
    <xf numFmtId="174"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74"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74"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168" fontId="63" fillId="52" borderId="65" xfId="2" applyFont="1" applyFill="1" applyBorder="1" applyAlignment="1">
      <alignment horizontal="center" vertical="center"/>
    </xf>
    <xf numFmtId="168"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74"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74" fontId="6" fillId="52" borderId="130" xfId="2" applyNumberFormat="1" applyFont="1" applyFill="1" applyBorder="1" applyAlignment="1">
      <alignment horizontal="center" vertical="center"/>
    </xf>
    <xf numFmtId="174" fontId="6" fillId="52" borderId="125" xfId="2" applyNumberFormat="1" applyFont="1" applyFill="1" applyBorder="1" applyAlignment="1">
      <alignment horizontal="center" vertical="center"/>
    </xf>
    <xf numFmtId="174" fontId="6" fillId="52" borderId="65" xfId="2" applyNumberFormat="1" applyFont="1" applyFill="1" applyBorder="1" applyAlignment="1">
      <alignment horizontal="center" vertical="center"/>
    </xf>
    <xf numFmtId="174" fontId="6" fillId="52" borderId="127" xfId="2" applyNumberFormat="1" applyFont="1" applyFill="1" applyBorder="1" applyAlignment="1">
      <alignment horizontal="center" vertical="center"/>
    </xf>
    <xf numFmtId="174" fontId="6" fillId="52" borderId="119" xfId="2" applyNumberFormat="1" applyFont="1" applyFill="1" applyBorder="1" applyAlignment="1">
      <alignment horizontal="center" vertical="center"/>
    </xf>
    <xf numFmtId="174" fontId="6" fillId="52" borderId="129" xfId="2" applyNumberFormat="1" applyFont="1" applyFill="1" applyBorder="1" applyAlignment="1">
      <alignment horizontal="center" vertical="center"/>
    </xf>
    <xf numFmtId="170" fontId="6" fillId="16" borderId="49" xfId="2" applyNumberFormat="1" applyFont="1" applyFill="1" applyBorder="1"/>
    <xf numFmtId="0" fontId="11" fillId="16" borderId="39" xfId="0" applyFont="1" applyFill="1" applyBorder="1" applyAlignment="1">
      <alignment vertical="center"/>
    </xf>
    <xf numFmtId="170" fontId="6" fillId="16" borderId="192" xfId="2" applyNumberFormat="1" applyFont="1" applyFill="1" applyBorder="1"/>
    <xf numFmtId="170"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74"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70"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72"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70" fontId="17" fillId="16" borderId="0" xfId="2" applyNumberFormat="1" applyFont="1" applyFill="1" applyBorder="1" applyProtection="1"/>
    <xf numFmtId="170"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72"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74"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71" fontId="54" fillId="4" borderId="125" xfId="2" applyNumberFormat="1" applyFont="1" applyFill="1" applyBorder="1" applyAlignment="1" applyProtection="1">
      <alignment vertical="center"/>
      <protection locked="0"/>
    </xf>
    <xf numFmtId="171" fontId="54" fillId="4" borderId="127" xfId="2" applyNumberFormat="1" applyFont="1" applyFill="1" applyBorder="1" applyProtection="1">
      <protection locked="0"/>
    </xf>
    <xf numFmtId="171" fontId="54" fillId="4" borderId="142" xfId="2" applyNumberFormat="1" applyFont="1" applyFill="1" applyBorder="1" applyProtection="1">
      <protection locked="0"/>
    </xf>
    <xf numFmtId="174"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70" fontId="22" fillId="54" borderId="0" xfId="2" applyNumberFormat="1" applyFont="1" applyFill="1" applyBorder="1" applyAlignment="1" applyProtection="1">
      <alignment horizontal="center"/>
      <protection locked="0"/>
    </xf>
    <xf numFmtId="0" fontId="31" fillId="54" borderId="0" xfId="0" applyFont="1" applyFill="1"/>
    <xf numFmtId="174" fontId="31" fillId="54" borderId="0" xfId="0" applyNumberFormat="1" applyFont="1" applyFill="1" applyAlignment="1">
      <alignment horizontal="left"/>
    </xf>
    <xf numFmtId="174" fontId="31" fillId="52" borderId="144" xfId="0" applyNumberFormat="1" applyFont="1" applyFill="1" applyBorder="1" applyAlignment="1">
      <alignment horizontal="left" vertical="center"/>
    </xf>
    <xf numFmtId="174"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70"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72"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84" fontId="6" fillId="16" borderId="0" xfId="0" applyNumberFormat="1" applyFont="1" applyFill="1"/>
    <xf numFmtId="169" fontId="6" fillId="0" borderId="0" xfId="1" applyFont="1"/>
    <xf numFmtId="174" fontId="6" fillId="0" borderId="0" xfId="2" applyNumberFormat="1" applyFont="1"/>
    <xf numFmtId="174"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70" fontId="126" fillId="16" borderId="0" xfId="2" applyNumberFormat="1" applyFont="1" applyFill="1"/>
    <xf numFmtId="9" fontId="126" fillId="16" borderId="0" xfId="0" applyNumberFormat="1" applyFont="1" applyFill="1"/>
    <xf numFmtId="168"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9" fontId="87" fillId="31" borderId="3" xfId="6" applyFont="1" applyFill="1" applyBorder="1" applyAlignment="1" applyProtection="1">
      <alignment horizontal="right" vertical="center" wrapText="1" indent="2"/>
      <protection locked="0"/>
    </xf>
    <xf numFmtId="169" fontId="22" fillId="16" borderId="0" xfId="1" applyFont="1" applyFill="1" applyBorder="1" applyAlignment="1">
      <alignment horizontal="left" vertical="top" wrapText="1" indent="2"/>
    </xf>
    <xf numFmtId="0" fontId="6" fillId="16" borderId="0" xfId="5" applyFont="1" applyFill="1" applyAlignment="1">
      <alignment horizontal="left" vertical="center" wrapText="1"/>
    </xf>
    <xf numFmtId="0" fontId="22" fillId="16" borderId="0" xfId="5" applyFont="1" applyFill="1" applyAlignment="1">
      <alignment horizontal="left" vertical="top" wrapText="1" indent="2"/>
    </xf>
    <xf numFmtId="0" fontId="84" fillId="16" borderId="0" xfId="0" applyFont="1" applyFill="1" applyAlignment="1">
      <alignment vertical="center" wrapText="1"/>
    </xf>
    <xf numFmtId="169" fontId="22" fillId="16" borderId="0" xfId="1" applyFont="1" applyFill="1" applyAlignment="1">
      <alignment horizontal="left" vertical="top" wrapText="1" indent="2"/>
    </xf>
    <xf numFmtId="169" fontId="22" fillId="16" borderId="0" xfId="1" quotePrefix="1" applyFont="1" applyFill="1" applyBorder="1" applyAlignment="1">
      <alignment horizontal="left" vertical="top" wrapText="1" indent="4"/>
    </xf>
    <xf numFmtId="169" fontId="22" fillId="16" borderId="0" xfId="1" applyFont="1" applyFill="1" applyBorder="1" applyAlignment="1">
      <alignment horizontal="left" vertical="top" wrapText="1" indent="4"/>
    </xf>
    <xf numFmtId="169" fontId="22" fillId="16" borderId="0" xfId="1" quotePrefix="1" applyFont="1" applyFill="1" applyAlignment="1">
      <alignment horizontal="left" vertical="top" wrapText="1" indent="4"/>
    </xf>
    <xf numFmtId="169" fontId="22" fillId="16" borderId="0" xfId="1" applyFont="1" applyFill="1" applyAlignment="1">
      <alignment horizontal="left" vertical="top" wrapText="1" indent="4"/>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26" fillId="16" borderId="50" xfId="0" applyFont="1" applyFill="1" applyBorder="1" applyAlignment="1">
      <alignment horizontal="left" vertical="top" wrapText="1"/>
    </xf>
    <xf numFmtId="0" fontId="104" fillId="42" borderId="0" xfId="1" applyNumberFormat="1" applyFont="1" applyFill="1" applyAlignment="1">
      <alignment horizontal="left" vertical="top"/>
    </xf>
    <xf numFmtId="0" fontId="22" fillId="16" borderId="0" xfId="0" applyFont="1" applyFill="1" applyAlignment="1">
      <alignment horizontal="left" vertical="top" wrapText="1"/>
    </xf>
    <xf numFmtId="172" fontId="6" fillId="16" borderId="0" xfId="0" applyNumberFormat="1" applyFont="1" applyFill="1" applyAlignment="1" applyProtection="1">
      <alignment horizontal="left" vertical="top" wrapText="1"/>
      <protection locked="0"/>
    </xf>
    <xf numFmtId="0" fontId="6" fillId="16" borderId="0" xfId="0" quotePrefix="1" applyFont="1" applyFill="1" applyAlignment="1" applyProtection="1">
      <alignment horizontal="left" vertical="top"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70" fontId="22" fillId="52" borderId="71" xfId="2" applyNumberFormat="1" applyFont="1" applyFill="1" applyBorder="1" applyProtection="1">
      <protection locked="0"/>
    </xf>
    <xf numFmtId="170" fontId="22" fillId="52" borderId="91" xfId="2" applyNumberFormat="1" applyFont="1" applyFill="1" applyBorder="1" applyProtection="1">
      <protection locked="0"/>
    </xf>
    <xf numFmtId="170" fontId="22" fillId="52" borderId="71" xfId="2" applyNumberFormat="1" applyFont="1" applyFill="1" applyBorder="1" applyAlignment="1" applyProtection="1">
      <alignment vertical="center"/>
      <protection locked="0"/>
    </xf>
    <xf numFmtId="170"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20" borderId="1"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6" fillId="16" borderId="0" xfId="0" quotePrefix="1" applyFont="1" applyFill="1" applyAlignment="1" applyProtection="1">
      <alignment horizontal="left" vertical="top" wrapText="1" indent="4"/>
      <protection locked="0"/>
    </xf>
    <xf numFmtId="0" fontId="6" fillId="16" borderId="0" xfId="0" applyFont="1" applyFill="1" applyAlignment="1">
      <alignment horizontal="left" vertical="top"/>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vertical="top" indent="4"/>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84" fillId="42" borderId="0" xfId="1" applyNumberFormat="1" applyFont="1" applyFill="1" applyAlignment="1">
      <alignment horizontal="left" vertical="top" wrapText="1"/>
    </xf>
    <xf numFmtId="172" fontId="48" fillId="16" borderId="0" xfId="0" applyNumberFormat="1" applyFont="1" applyFill="1" applyAlignment="1" applyProtection="1">
      <alignment horizontal="left" vertical="center" wrapText="1"/>
      <protection locked="0"/>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0" fontId="51" fillId="16" borderId="0" xfId="0" applyFont="1" applyFill="1" applyAlignment="1" applyProtection="1">
      <alignment horizontal="center"/>
      <protection locked="0"/>
    </xf>
    <xf numFmtId="173" fontId="6" fillId="16" borderId="0" xfId="5" applyNumberFormat="1" applyFont="1" applyFill="1" applyAlignment="1" applyProtection="1">
      <alignment horizontal="center" wrapText="1"/>
      <protection locked="0"/>
    </xf>
    <xf numFmtId="0" fontId="18" fillId="16" borderId="0" xfId="3" applyFont="1" applyFill="1" applyBorder="1" applyAlignment="1" applyProtection="1">
      <alignment horizontal="center" vertical="center" wrapText="1"/>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173" fontId="6" fillId="7" borderId="43" xfId="5" applyNumberFormat="1" applyFont="1" applyFill="1" applyBorder="1" applyAlignment="1" applyProtection="1">
      <alignment horizontal="center" wrapText="1"/>
      <protection locked="0"/>
    </xf>
    <xf numFmtId="173" fontId="6" fillId="7" borderId="35" xfId="5" applyNumberFormat="1" applyFont="1" applyFill="1" applyBorder="1" applyAlignment="1" applyProtection="1">
      <alignment horizontal="center" wrapText="1"/>
      <protection locked="0"/>
    </xf>
    <xf numFmtId="173" fontId="6" fillId="7" borderId="31" xfId="5" applyNumberFormat="1" applyFont="1" applyFill="1" applyBorder="1" applyAlignment="1" applyProtection="1">
      <alignment horizontal="center" wrapText="1"/>
      <protection locked="0"/>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73" fontId="6" fillId="19" borderId="41" xfId="5" applyNumberFormat="1" applyFont="1" applyFill="1" applyBorder="1" applyAlignment="1" applyProtection="1">
      <alignment horizontal="center" wrapText="1"/>
      <protection locked="0"/>
    </xf>
    <xf numFmtId="173" fontId="6" fillId="19" borderId="42" xfId="5" applyNumberFormat="1" applyFont="1" applyFill="1" applyBorder="1" applyAlignment="1" applyProtection="1">
      <alignment horizontal="center" wrapText="1"/>
      <protection locked="0"/>
    </xf>
    <xf numFmtId="173" fontId="6" fillId="19" borderId="53" xfId="5" applyNumberFormat="1" applyFont="1" applyFill="1" applyBorder="1" applyAlignment="1" applyProtection="1">
      <alignment horizontal="center" wrapText="1"/>
      <protection locked="0"/>
    </xf>
    <xf numFmtId="173" fontId="6" fillId="40" borderId="41" xfId="5" applyNumberFormat="1" applyFont="1" applyFill="1" applyBorder="1" applyAlignment="1" applyProtection="1">
      <alignment horizontal="center" wrapText="1"/>
      <protection locked="0"/>
    </xf>
    <xf numFmtId="173" fontId="6" fillId="40" borderId="53" xfId="5" applyNumberFormat="1" applyFont="1" applyFill="1" applyBorder="1" applyAlignment="1" applyProtection="1">
      <alignment horizontal="center" wrapText="1"/>
      <protection locked="0"/>
    </xf>
    <xf numFmtId="173" fontId="6" fillId="40" borderId="42" xfId="5" applyNumberFormat="1" applyFont="1" applyFill="1" applyBorder="1" applyAlignment="1" applyProtection="1">
      <alignment horizontal="center" wrapText="1"/>
      <protection locked="0"/>
    </xf>
    <xf numFmtId="173" fontId="6" fillId="10" borderId="43" xfId="5" applyNumberFormat="1" applyFont="1" applyFill="1" applyBorder="1" applyAlignment="1" applyProtection="1">
      <alignment horizontal="center" wrapText="1"/>
      <protection locked="0"/>
    </xf>
    <xf numFmtId="173" fontId="6" fillId="10" borderId="35" xfId="5" applyNumberFormat="1" applyFont="1" applyFill="1" applyBorder="1" applyAlignment="1" applyProtection="1">
      <alignment horizontal="center" wrapText="1"/>
      <protection locked="0"/>
    </xf>
    <xf numFmtId="173" fontId="6" fillId="10"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173" fontId="6" fillId="7" borderId="36" xfId="5" applyNumberFormat="1" applyFont="1" applyFill="1" applyBorder="1" applyAlignment="1" applyProtection="1">
      <alignment horizontal="center" wrapText="1"/>
      <protection locked="0"/>
    </xf>
    <xf numFmtId="173" fontId="6" fillId="7" borderId="38" xfId="5" applyNumberFormat="1" applyFont="1" applyFill="1" applyBorder="1" applyAlignment="1" applyProtection="1">
      <alignment horizontal="center" wrapText="1"/>
      <protection locked="0"/>
    </xf>
    <xf numFmtId="173" fontId="6" fillId="10" borderId="36" xfId="5" applyNumberFormat="1" applyFont="1" applyFill="1" applyBorder="1" applyAlignment="1" applyProtection="1">
      <alignment horizontal="center" wrapText="1"/>
      <protection locked="0"/>
    </xf>
    <xf numFmtId="173"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34" fillId="8" borderId="47"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6" fillId="34" borderId="38"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84" fillId="42" borderId="0" xfId="0" applyFont="1" applyFill="1" applyAlignment="1">
      <alignment vertical="center" wrapText="1"/>
    </xf>
    <xf numFmtId="0" fontId="6" fillId="16" borderId="0" xfId="0" applyFont="1" applyFill="1" applyAlignment="1">
      <alignment horizontal="left" vertical="top" wrapText="1" indent="4"/>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74" fontId="17" fillId="4" borderId="154" xfId="2" applyNumberFormat="1" applyFont="1" applyFill="1" applyBorder="1" applyAlignment="1" applyProtection="1">
      <alignment horizontal="center"/>
    </xf>
    <xf numFmtId="174" fontId="17" fillId="4" borderId="148" xfId="2" applyNumberFormat="1" applyFont="1" applyFill="1" applyBorder="1" applyAlignment="1" applyProtection="1">
      <alignment horizontal="center"/>
    </xf>
    <xf numFmtId="174" fontId="17" fillId="4" borderId="156" xfId="2" applyNumberFormat="1" applyFont="1" applyFill="1" applyBorder="1" applyAlignment="1" applyProtection="1">
      <alignment horizontal="center"/>
    </xf>
    <xf numFmtId="174"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6"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171" fontId="71" fillId="4" borderId="155" xfId="2" applyNumberFormat="1" applyFont="1" applyFill="1" applyBorder="1" applyAlignment="1" applyProtection="1">
      <alignment horizontal="center" vertical="center" wrapText="1" readingOrder="1"/>
      <protection locked="0"/>
    </xf>
    <xf numFmtId="171" fontId="71" fillId="4" borderId="209" xfId="2" applyNumberFormat="1" applyFont="1" applyFill="1" applyBorder="1" applyAlignment="1" applyProtection="1">
      <alignment horizontal="center" vertical="center" wrapText="1" readingOrder="1"/>
      <protection locked="0"/>
    </xf>
    <xf numFmtId="168" fontId="71" fillId="4" borderId="156" xfId="2" applyFont="1" applyFill="1" applyBorder="1" applyAlignment="1" applyProtection="1">
      <alignment horizontal="right" vertical="center" wrapText="1" readingOrder="1"/>
      <protection locked="0"/>
    </xf>
    <xf numFmtId="168" fontId="71" fillId="4" borderId="210" xfId="2" applyFont="1" applyFill="1" applyBorder="1" applyAlignment="1" applyProtection="1">
      <alignment horizontal="right" vertical="center" wrapText="1" readingOrder="1"/>
      <protection locked="0"/>
    </xf>
    <xf numFmtId="171" fontId="71" fillId="0" borderId="155" xfId="2" applyNumberFormat="1" applyFont="1" applyBorder="1" applyAlignment="1" applyProtection="1">
      <alignment horizontal="center" vertical="center" wrapText="1" readingOrder="1"/>
      <protection locked="0"/>
    </xf>
    <xf numFmtId="171" fontId="71" fillId="0" borderId="153" xfId="2" applyNumberFormat="1" applyFont="1" applyBorder="1" applyAlignment="1" applyProtection="1">
      <alignment horizontal="center" vertical="center" wrapText="1" readingOrder="1"/>
      <protection locked="0"/>
    </xf>
    <xf numFmtId="171" fontId="71" fillId="0" borderId="120" xfId="2" applyNumberFormat="1" applyFont="1" applyBorder="1" applyAlignment="1" applyProtection="1">
      <alignment horizontal="center" vertical="center" wrapText="1" readingOrder="1"/>
      <protection locked="0"/>
    </xf>
    <xf numFmtId="168" fontId="71" fillId="0" borderId="156" xfId="2" applyFont="1" applyBorder="1" applyAlignment="1" applyProtection="1">
      <alignment horizontal="center" vertical="center" wrapText="1" readingOrder="1"/>
      <protection locked="0"/>
    </xf>
    <xf numFmtId="168" fontId="71" fillId="0" borderId="157" xfId="2" applyFont="1" applyBorder="1" applyAlignment="1" applyProtection="1">
      <alignment horizontal="center" vertical="center" wrapText="1" readingOrder="1"/>
      <protection locked="0"/>
    </xf>
    <xf numFmtId="168" fontId="71" fillId="0" borderId="137" xfId="2" applyFont="1" applyBorder="1" applyAlignment="1" applyProtection="1">
      <alignment horizontal="center" vertical="center" wrapText="1" readingOrder="1"/>
      <protection locked="0"/>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0" fontId="17" fillId="16" borderId="0" xfId="8" applyFont="1" applyFill="1" applyBorder="1" applyAlignment="1" applyProtection="1">
      <alignment horizontal="center" vertical="center" wrapText="1"/>
    </xf>
    <xf numFmtId="170" fontId="54" fillId="4" borderId="65" xfId="2" applyNumberFormat="1" applyFont="1" applyFill="1" applyBorder="1" applyAlignment="1" applyProtection="1">
      <alignment horizontal="center" vertical="center" wrapText="1"/>
      <protection locked="0"/>
    </xf>
    <xf numFmtId="170" fontId="54" fillId="4" borderId="127" xfId="2" applyNumberFormat="1" applyFont="1" applyFill="1" applyBorder="1" applyAlignment="1" applyProtection="1">
      <alignment horizontal="center" vertical="center" wrapText="1"/>
      <protection locked="0"/>
    </xf>
    <xf numFmtId="170" fontId="22" fillId="4" borderId="65" xfId="2" applyNumberFormat="1" applyFont="1" applyFill="1" applyBorder="1" applyAlignment="1" applyProtection="1">
      <alignment horizontal="center" vertical="center" wrapText="1"/>
      <protection locked="0"/>
    </xf>
    <xf numFmtId="170" fontId="22" fillId="4" borderId="127" xfId="2" applyNumberFormat="1" applyFont="1" applyFill="1" applyBorder="1" applyAlignment="1" applyProtection="1">
      <alignment horizontal="center" vertical="center" wrapText="1"/>
      <protection locked="0"/>
    </xf>
    <xf numFmtId="170" fontId="6" fillId="4" borderId="65" xfId="2" applyNumberFormat="1" applyFont="1" applyFill="1" applyBorder="1" applyAlignment="1" applyProtection="1">
      <alignment horizontal="center" vertical="center" wrapText="1"/>
      <protection locked="0"/>
    </xf>
    <xf numFmtId="170" fontId="6" fillId="4" borderId="127" xfId="2" applyNumberFormat="1" applyFont="1" applyFill="1" applyBorder="1" applyAlignment="1" applyProtection="1">
      <alignment horizontal="center" vertical="center" wrapText="1"/>
      <protection locked="0"/>
    </xf>
    <xf numFmtId="170" fontId="6" fillId="4" borderId="130" xfId="2" applyNumberFormat="1" applyFont="1" applyFill="1" applyBorder="1" applyAlignment="1" applyProtection="1">
      <alignment horizontal="center" vertical="center" wrapText="1"/>
      <protection locked="0"/>
    </xf>
    <xf numFmtId="170" fontId="6" fillId="4" borderId="125" xfId="2" applyNumberFormat="1" applyFont="1" applyFill="1" applyBorder="1" applyAlignment="1" applyProtection="1">
      <alignment horizontal="center" vertical="center" wrapText="1"/>
      <protection locked="0"/>
    </xf>
    <xf numFmtId="0" fontId="69" fillId="42" borderId="107" xfId="0" applyFont="1" applyFill="1" applyBorder="1" applyAlignment="1">
      <alignment horizontal="center" vertical="center"/>
    </xf>
    <xf numFmtId="178" fontId="6" fillId="4" borderId="65" xfId="2" applyNumberFormat="1" applyFont="1" applyFill="1" applyBorder="1" applyAlignment="1" applyProtection="1">
      <alignment horizontal="center" vertical="center" wrapText="1"/>
      <protection locked="0"/>
    </xf>
    <xf numFmtId="178"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179" fontId="6" fillId="4" borderId="154" xfId="2" applyNumberFormat="1" applyFont="1" applyFill="1" applyBorder="1" applyAlignment="1" applyProtection="1">
      <alignment horizontal="center" vertical="center" wrapText="1"/>
      <protection locked="0"/>
    </xf>
    <xf numFmtId="179" fontId="6" fillId="4" borderId="199" xfId="2" applyNumberFormat="1" applyFont="1" applyFill="1" applyBorder="1" applyAlignment="1" applyProtection="1">
      <alignment horizontal="center" vertical="center" wrapText="1"/>
      <protection locked="0"/>
    </xf>
    <xf numFmtId="179"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70" fontId="54" fillId="4" borderId="155" xfId="2" applyNumberFormat="1" applyFont="1" applyFill="1" applyBorder="1" applyAlignment="1" applyProtection="1">
      <alignment horizontal="center" vertical="center" wrapText="1"/>
      <protection locked="0"/>
    </xf>
    <xf numFmtId="170" fontId="54" fillId="4" borderId="153" xfId="2" applyNumberFormat="1" applyFont="1" applyFill="1" applyBorder="1" applyAlignment="1" applyProtection="1">
      <alignment horizontal="center" vertical="center" wrapText="1"/>
      <protection locked="0"/>
    </xf>
    <xf numFmtId="170"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0" fontId="17" fillId="20" borderId="209" xfId="8" applyFont="1" applyFill="1" applyBorder="1" applyAlignment="1">
      <alignment horizontal="center" wrapText="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11" fillId="4" borderId="0" xfId="0" applyFont="1" applyFill="1" applyAlignment="1">
      <alignment horizontal="center"/>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xf numFmtId="0" fontId="80" fillId="4" borderId="0" xfId="1" applyNumberFormat="1" applyFont="1" applyFill="1" applyAlignment="1">
      <alignment horizontal="left" vertical="top" indent="2"/>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7" formatCode="[$CAD]\ #,##0.00"/>
      <fill>
        <patternFill patternType="none">
          <bgColor auto="1"/>
        </patternFill>
      </fill>
    </dxf>
    <dxf>
      <numFmt numFmtId="171" formatCode="&quot;$&quot;#,##0.00"/>
    </dxf>
    <dxf>
      <numFmt numFmtId="186" formatCode="[$£-809]#,##0.00"/>
    </dxf>
    <dxf>
      <numFmt numFmtId="173" formatCode="[$$-409]#,##0.00"/>
    </dxf>
    <dxf>
      <numFmt numFmtId="173" formatCode="[$$-409]#,##0.00"/>
    </dxf>
    <dxf>
      <numFmt numFmtId="171" formatCode="&quot;$&quot;#,##0.00"/>
    </dxf>
    <dxf>
      <numFmt numFmtId="187" formatCode="[$CAD]\ #,##0.00"/>
      <fill>
        <patternFill patternType="none">
          <bgColor auto="1"/>
        </patternFill>
      </fill>
    </dxf>
    <dxf>
      <numFmt numFmtId="186"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6" formatCode="[$£-809]#,##0.00"/>
    </dxf>
    <dxf>
      <numFmt numFmtId="173" formatCode="[$$-409]#,##0.00"/>
    </dxf>
    <dxf>
      <numFmt numFmtId="171" formatCode="&quot;$&quot;#,##0.00"/>
    </dxf>
    <dxf>
      <numFmt numFmtId="187"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34">
      <pivotArea type="all" dataOnly="0" outline="0" fieldPosition="0"/>
    </format>
    <format dxfId="233">
      <pivotArea outline="0" collapsedLevelsAreSubtotals="1" fieldPosition="0"/>
    </format>
    <format dxfId="232">
      <pivotArea dataOnly="0" labelOnly="1" grandRow="1" outline="0" fieldPosition="0"/>
    </format>
    <format dxfId="231">
      <pivotArea dataOnly="0" labelOnly="1" outline="0" axis="axisValues" fieldPosition="0"/>
    </format>
    <format dxfId="230">
      <pivotArea type="all" dataOnly="0" outline="0" fieldPosition="0"/>
    </format>
    <format dxfId="229">
      <pivotArea outline="0" collapsedLevelsAreSubtotals="1" fieldPosition="0"/>
    </format>
    <format dxfId="228">
      <pivotArea dataOnly="0" labelOnly="1" grandRow="1" outline="0" fieldPosition="0"/>
    </format>
    <format dxfId="227">
      <pivotArea dataOnly="0" labelOnly="1" outline="0" axis="axisValues" fieldPosition="0"/>
    </format>
    <format dxfId="226">
      <pivotArea type="all" dataOnly="0" outline="0" fieldPosition="0"/>
    </format>
    <format dxfId="225">
      <pivotArea outline="0" collapsedLevelsAreSubtotals="1" fieldPosition="0"/>
    </format>
    <format dxfId="224">
      <pivotArea dataOnly="0" labelOnly="1" grandRow="1" outline="0" fieldPosition="0"/>
    </format>
    <format dxfId="223">
      <pivotArea dataOnly="0" labelOnly="1" outline="0" axis="axisValues" fieldPosition="0"/>
    </format>
    <format dxfId="222">
      <pivotArea type="all" dataOnly="0" outline="0" fieldPosition="0"/>
    </format>
    <format dxfId="221">
      <pivotArea outline="0" collapsedLevelsAreSubtotals="1" fieldPosition="0"/>
    </format>
    <format dxfId="220">
      <pivotArea dataOnly="0" labelOnly="1" grandRow="1" outline="0" fieldPosition="0"/>
    </format>
    <format dxfId="219">
      <pivotArea dataOnly="0" labelOnly="1" outline="0" axis="axisValues" fieldPosition="0"/>
    </format>
    <format dxfId="218">
      <pivotArea grandRow="1" outline="0" collapsedLevelsAreSubtotals="1" fieldPosition="0"/>
    </format>
    <format dxfId="217">
      <pivotArea dataOnly="0" labelOnly="1" grandRow="1" outline="0" fieldPosition="0"/>
    </format>
    <format dxfId="216">
      <pivotArea type="all" dataOnly="0" outline="0" fieldPosition="0"/>
    </format>
    <format dxfId="215">
      <pivotArea dataOnly="0" labelOnly="1" outline="0" axis="axisValues" fieldPosition="0"/>
    </format>
    <format dxfId="214">
      <pivotArea field="2" type="button" dataOnly="0" labelOnly="1" outline="0" axis="axisRow" fieldPosition="1"/>
    </format>
    <format dxfId="213">
      <pivotArea dataOnly="0" labelOnly="1" outline="0" axis="axisValues" fieldPosition="0"/>
    </format>
    <format dxfId="212">
      <pivotArea field="2" type="button" dataOnly="0" labelOnly="1" outline="0" axis="axisRow" fieldPosition="1"/>
    </format>
    <format dxfId="211">
      <pivotArea dataOnly="0" labelOnly="1" outline="0" axis="axisValues" fieldPosition="0"/>
    </format>
    <format dxfId="210">
      <pivotArea dataOnly="0" labelOnly="1" fieldPosition="0">
        <references count="1">
          <reference field="2" count="0"/>
        </references>
      </pivotArea>
    </format>
    <format dxfId="209">
      <pivotArea outline="0" collapsedLevelsAreSubtotals="1" fieldPosition="0"/>
    </format>
    <format dxfId="208">
      <pivotArea dataOnly="0" labelOnly="1" fieldPosition="0">
        <references count="1">
          <reference field="2" count="11">
            <x v="0"/>
            <x v="2"/>
            <x v="3"/>
            <x v="4"/>
            <x v="5"/>
            <x v="6"/>
            <x v="7"/>
            <x v="8"/>
            <x v="9"/>
            <x v="10"/>
            <x v="11"/>
          </reference>
        </references>
      </pivotArea>
    </format>
    <format dxfId="207">
      <pivotArea dataOnly="0" labelOnly="1" grandRow="1" outline="0" fieldPosition="0"/>
    </format>
    <format dxfId="206">
      <pivotArea field="0" type="button" dataOnly="0" labelOnly="1" outline="0" axis="axisRow" fieldPosition="0"/>
    </format>
    <format dxfId="205">
      <pivotArea field="0" type="button" dataOnly="0" labelOnly="1" outline="0" axis="axisRow" fieldPosition="0"/>
    </format>
    <format dxfId="204">
      <pivotArea dataOnly="0" labelOnly="1" grandRow="1" outline="0" offset="A256" fieldPosition="0"/>
    </format>
    <format dxfId="203">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66">
      <pivotArea type="all" dataOnly="0" outline="0" fieldPosition="0"/>
    </format>
    <format dxfId="265">
      <pivotArea outline="0" collapsedLevelsAreSubtotals="1" fieldPosition="0"/>
    </format>
    <format dxfId="264">
      <pivotArea dataOnly="0" labelOnly="1" grandRow="1" outline="0" fieldPosition="0"/>
    </format>
    <format dxfId="263">
      <pivotArea dataOnly="0" labelOnly="1" outline="0" axis="axisValues" fieldPosition="0"/>
    </format>
    <format dxfId="262">
      <pivotArea type="all" dataOnly="0" outline="0" fieldPosition="0"/>
    </format>
    <format dxfId="261">
      <pivotArea outline="0" collapsedLevelsAreSubtotals="1" fieldPosition="0"/>
    </format>
    <format dxfId="260">
      <pivotArea dataOnly="0" labelOnly="1" grandRow="1" outline="0" fieldPosition="0"/>
    </format>
    <format dxfId="259">
      <pivotArea dataOnly="0" labelOnly="1" outline="0" axis="axisValues" fieldPosition="0"/>
    </format>
    <format dxfId="258">
      <pivotArea type="all" dataOnly="0" outline="0" fieldPosition="0"/>
    </format>
    <format dxfId="257">
      <pivotArea outline="0" collapsedLevelsAreSubtotals="1" fieldPosition="0"/>
    </format>
    <format dxfId="256">
      <pivotArea dataOnly="0" labelOnly="1" grandRow="1" outline="0" fieldPosition="0"/>
    </format>
    <format dxfId="255">
      <pivotArea dataOnly="0" labelOnly="1" outline="0" axis="axisValues" fieldPosition="0"/>
    </format>
    <format dxfId="254">
      <pivotArea type="all" dataOnly="0" outline="0" fieldPosition="0"/>
    </format>
    <format dxfId="253">
      <pivotArea outline="0" collapsedLevelsAreSubtotals="1" fieldPosition="0"/>
    </format>
    <format dxfId="252">
      <pivotArea dataOnly="0" labelOnly="1" grandRow="1" outline="0" fieldPosition="0"/>
    </format>
    <format dxfId="251">
      <pivotArea dataOnly="0" labelOnly="1" outline="0" axis="axisValues" fieldPosition="0"/>
    </format>
    <format dxfId="250">
      <pivotArea grandRow="1" outline="0" collapsedLevelsAreSubtotals="1" fieldPosition="0"/>
    </format>
    <format dxfId="249">
      <pivotArea dataOnly="0" labelOnly="1" grandRow="1" outline="0" fieldPosition="0"/>
    </format>
    <format dxfId="248">
      <pivotArea type="all" dataOnly="0" outline="0" fieldPosition="0"/>
    </format>
    <format dxfId="247">
      <pivotArea dataOnly="0" labelOnly="1" outline="0" axis="axisValues" fieldPosition="0"/>
    </format>
    <format dxfId="246">
      <pivotArea field="2" type="button" dataOnly="0" labelOnly="1" outline="0" axis="axisRow" fieldPosition="1"/>
    </format>
    <format dxfId="245">
      <pivotArea dataOnly="0" labelOnly="1" outline="0" axis="axisValues" fieldPosition="0"/>
    </format>
    <format dxfId="244">
      <pivotArea field="2" type="button" dataOnly="0" labelOnly="1" outline="0" axis="axisRow" fieldPosition="1"/>
    </format>
    <format dxfId="243">
      <pivotArea dataOnly="0" labelOnly="1" outline="0" axis="axisValues" fieldPosition="0"/>
    </format>
    <format dxfId="242">
      <pivotArea dataOnly="0" labelOnly="1" fieldPosition="0">
        <references count="1">
          <reference field="2" count="0"/>
        </references>
      </pivotArea>
    </format>
    <format dxfId="241">
      <pivotArea outline="0" collapsedLevelsAreSubtotals="1" fieldPosition="0"/>
    </format>
    <format dxfId="240">
      <pivotArea dataOnly="0" labelOnly="1" fieldPosition="0">
        <references count="1">
          <reference field="2" count="11">
            <x v="0"/>
            <x v="2"/>
            <x v="3"/>
            <x v="4"/>
            <x v="5"/>
            <x v="6"/>
            <x v="7"/>
            <x v="8"/>
            <x v="9"/>
            <x v="10"/>
            <x v="11"/>
          </reference>
        </references>
      </pivotArea>
    </format>
    <format dxfId="239">
      <pivotArea dataOnly="0" labelOnly="1" grandRow="1" outline="0" fieldPosition="0"/>
    </format>
    <format dxfId="238">
      <pivotArea field="0" type="button" dataOnly="0" labelOnly="1" outline="0" axis="axisRow" fieldPosition="0"/>
    </format>
    <format dxfId="237">
      <pivotArea field="0" type="button" dataOnly="0" labelOnly="1" outline="0" axis="axisRow" fieldPosition="0"/>
    </format>
    <format dxfId="236">
      <pivotArea dataOnly="0" labelOnly="1" grandRow="1" outline="0" offset="A256" fieldPosition="0"/>
    </format>
    <format dxfId="235">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21875" defaultRowHeight="18.75" customHeight="1" x14ac:dyDescent="0.3"/>
  <cols>
    <col min="1" max="1" width="2.44140625" style="780" customWidth="1"/>
    <col min="2" max="2" width="32.44140625" style="476" customWidth="1"/>
    <col min="3" max="3" width="173.44140625" style="780" customWidth="1"/>
    <col min="4" max="4" width="34.21875" style="476" customWidth="1"/>
    <col min="5" max="5" width="30.77734375" style="476" customWidth="1"/>
    <col min="6" max="6" width="42.44140625" style="476" customWidth="1"/>
    <col min="7" max="7" width="52.44140625" style="476" customWidth="1"/>
    <col min="8" max="8" width="12.77734375" style="776" customWidth="1"/>
    <col min="9" max="9" width="49" style="476" customWidth="1"/>
    <col min="10" max="10" width="11.44140625" style="476" customWidth="1"/>
    <col min="11" max="11" width="9.77734375" style="476" customWidth="1"/>
    <col min="12" max="12" width="11.44140625" style="476" customWidth="1"/>
    <col min="13" max="13" width="23" style="476" customWidth="1"/>
    <col min="14" max="14" width="29.44140625" style="476" customWidth="1"/>
    <col min="15" max="15" width="20.44140625" style="476" bestFit="1" customWidth="1"/>
    <col min="16" max="18" width="10.21875" style="476"/>
    <col min="19" max="19" width="16.44140625" style="476" bestFit="1" customWidth="1"/>
    <col min="20" max="20" width="9.77734375" style="476" bestFit="1" customWidth="1"/>
    <col min="21" max="21" width="15.44140625" style="476" bestFit="1" customWidth="1"/>
    <col min="22" max="22" width="9.77734375" style="476" bestFit="1" customWidth="1"/>
    <col min="23" max="28" width="10.21875" style="476"/>
    <col min="29" max="29" width="164" style="476" customWidth="1"/>
    <col min="30" max="30" width="175.44140625" style="476" customWidth="1"/>
    <col min="31" max="16384" width="10.21875" style="476"/>
  </cols>
  <sheetData>
    <row r="1" spans="1:30" s="470" customFormat="1" ht="9.4499999999999993" customHeight="1" x14ac:dyDescent="0.3">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05" customHeight="1" x14ac:dyDescent="0.3">
      <c r="A2" s="781"/>
      <c r="B2" s="782" t="s">
        <v>2301</v>
      </c>
      <c r="C2" s="783"/>
      <c r="W2" s="785"/>
      <c r="AC2" s="786"/>
      <c r="AD2" s="786"/>
    </row>
    <row r="3" spans="1:30" s="784" customFormat="1" ht="16.95" customHeight="1" x14ac:dyDescent="0.3">
      <c r="A3" s="781"/>
      <c r="B3" s="470" t="s">
        <v>2287</v>
      </c>
      <c r="C3" s="783"/>
      <c r="W3" s="785"/>
      <c r="AC3" s="786"/>
      <c r="AD3" s="786"/>
    </row>
    <row r="4" spans="1:30" s="470" customFormat="1" ht="22.5" customHeight="1" x14ac:dyDescent="0.35">
      <c r="A4" s="766"/>
      <c r="B4" s="1269" t="s">
        <v>2358</v>
      </c>
      <c r="D4" s="792"/>
      <c r="M4" s="768"/>
      <c r="W4" s="767"/>
    </row>
    <row r="5" spans="1:30" ht="10.95" customHeight="1" x14ac:dyDescent="0.3">
      <c r="A5" s="769"/>
      <c r="B5" s="1378"/>
      <c r="C5" s="1379"/>
      <c r="H5" s="770"/>
      <c r="M5" s="771"/>
      <c r="W5" s="772"/>
    </row>
    <row r="6" spans="1:30" ht="17.399999999999999" x14ac:dyDescent="0.3">
      <c r="A6" s="769"/>
      <c r="B6" s="1380" t="s">
        <v>2295</v>
      </c>
      <c r="C6" s="1381"/>
      <c r="H6" s="770"/>
      <c r="M6" s="771"/>
      <c r="W6" s="772"/>
    </row>
    <row r="7" spans="1:30" ht="25.95" customHeight="1" x14ac:dyDescent="0.3">
      <c r="A7" s="769"/>
      <c r="B7" s="1378" t="s">
        <v>2352</v>
      </c>
      <c r="C7" s="1379"/>
      <c r="H7" s="770"/>
      <c r="M7" s="771"/>
      <c r="W7" s="772"/>
    </row>
    <row r="8" spans="1:30" ht="45" customHeight="1" x14ac:dyDescent="0.3">
      <c r="A8" s="769"/>
      <c r="B8" s="1624" t="s">
        <v>2360</v>
      </c>
      <c r="C8" s="1624"/>
      <c r="D8" s="854"/>
      <c r="E8" s="854"/>
      <c r="F8" s="773"/>
      <c r="H8" s="771"/>
      <c r="W8" s="772"/>
    </row>
    <row r="9" spans="1:30" ht="13.8" x14ac:dyDescent="0.3">
      <c r="A9" s="769"/>
      <c r="B9" s="1257"/>
      <c r="C9" s="1257"/>
      <c r="D9" s="854"/>
      <c r="E9" s="854"/>
      <c r="F9" s="773"/>
      <c r="H9" s="771"/>
      <c r="W9" s="772"/>
    </row>
    <row r="10" spans="1:30" ht="17.399999999999999" x14ac:dyDescent="0.3">
      <c r="A10" s="769"/>
      <c r="B10" s="1380" t="s">
        <v>2353</v>
      </c>
      <c r="C10" s="1381"/>
      <c r="H10" s="770"/>
      <c r="M10" s="771"/>
      <c r="W10" s="772"/>
    </row>
    <row r="11" spans="1:30" ht="13.8" x14ac:dyDescent="0.3">
      <c r="A11" s="769"/>
      <c r="B11" s="1623" t="s">
        <v>6</v>
      </c>
      <c r="C11" s="1623"/>
      <c r="D11" s="854"/>
      <c r="E11" s="854"/>
      <c r="F11" s="773"/>
      <c r="H11" s="771"/>
      <c r="W11" s="772"/>
    </row>
    <row r="12" spans="1:30" ht="13.8" x14ac:dyDescent="0.3">
      <c r="A12" s="769"/>
      <c r="B12" s="1623" t="s">
        <v>2359</v>
      </c>
      <c r="C12" s="1623"/>
      <c r="H12" s="476"/>
      <c r="W12" s="772"/>
    </row>
    <row r="13" spans="1:30" ht="13.95" customHeight="1" x14ac:dyDescent="0.3">
      <c r="A13" s="769"/>
      <c r="B13" s="1623" t="s">
        <v>2356</v>
      </c>
      <c r="C13" s="1623"/>
      <c r="H13" s="476"/>
      <c r="U13" s="774"/>
      <c r="W13" s="772"/>
    </row>
    <row r="14" spans="1:30" ht="13.95" customHeight="1" x14ac:dyDescent="0.3">
      <c r="A14" s="769"/>
      <c r="B14" s="1623" t="s">
        <v>3</v>
      </c>
      <c r="C14" s="1623"/>
      <c r="G14" s="775"/>
      <c r="H14" s="476"/>
      <c r="U14" s="770"/>
      <c r="W14" s="772"/>
    </row>
    <row r="15" spans="1:30" ht="13.95" customHeight="1" x14ac:dyDescent="0.3">
      <c r="A15" s="769"/>
      <c r="B15" s="1623" t="s">
        <v>5</v>
      </c>
      <c r="C15" s="1623"/>
      <c r="H15" s="476"/>
      <c r="U15" s="407"/>
      <c r="W15" s="772"/>
    </row>
    <row r="16" spans="1:30" ht="13.8" x14ac:dyDescent="0.3">
      <c r="A16" s="769"/>
      <c r="B16" s="1627" t="s">
        <v>2354</v>
      </c>
      <c r="C16" s="1627"/>
      <c r="H16" s="476"/>
      <c r="W16" s="772"/>
    </row>
    <row r="17" spans="1:23" ht="13.8" x14ac:dyDescent="0.3">
      <c r="A17" s="769"/>
      <c r="B17" s="1258"/>
      <c r="C17" s="1258"/>
      <c r="H17" s="476"/>
      <c r="W17" s="772"/>
    </row>
    <row r="18" spans="1:23" ht="17.399999999999999" x14ac:dyDescent="0.3">
      <c r="A18" s="769"/>
      <c r="B18" s="1380" t="s">
        <v>2361</v>
      </c>
      <c r="C18" s="1381"/>
      <c r="H18" s="476"/>
      <c r="S18" s="476" t="s">
        <v>7</v>
      </c>
      <c r="W18" s="772"/>
    </row>
    <row r="19" spans="1:23" ht="13.8" x14ac:dyDescent="0.3">
      <c r="A19" s="769"/>
      <c r="B19" s="1625" t="s">
        <v>2365</v>
      </c>
      <c r="C19" s="1625"/>
      <c r="H19" s="476"/>
      <c r="W19" s="772"/>
    </row>
    <row r="20" spans="1:23" ht="13.8" x14ac:dyDescent="0.3">
      <c r="A20" s="769"/>
      <c r="B20" s="1625" t="s">
        <v>2362</v>
      </c>
      <c r="C20" s="1625"/>
      <c r="H20" s="476"/>
      <c r="W20" s="772"/>
    </row>
    <row r="21" spans="1:23" ht="13.8" x14ac:dyDescent="0.3">
      <c r="A21" s="769"/>
      <c r="B21" s="1630" t="s">
        <v>2395</v>
      </c>
      <c r="C21" s="1631"/>
      <c r="H21" s="476"/>
      <c r="W21" s="772"/>
    </row>
    <row r="22" spans="1:23" ht="13.8" x14ac:dyDescent="0.3">
      <c r="A22" s="769"/>
      <c r="B22" s="1630" t="s">
        <v>2396</v>
      </c>
      <c r="C22" s="1631"/>
      <c r="H22" s="476"/>
      <c r="W22" s="772"/>
    </row>
    <row r="23" spans="1:23" ht="13.8" x14ac:dyDescent="0.3">
      <c r="A23" s="769"/>
      <c r="B23" s="1630" t="s">
        <v>2397</v>
      </c>
      <c r="C23" s="1631"/>
      <c r="H23" s="476"/>
      <c r="W23" s="772"/>
    </row>
    <row r="24" spans="1:23" ht="13.8" x14ac:dyDescent="0.3">
      <c r="A24" s="769"/>
      <c r="B24" s="1630" t="s">
        <v>2398</v>
      </c>
      <c r="C24" s="1631"/>
      <c r="W24" s="772"/>
    </row>
    <row r="25" spans="1:23" ht="13.8" x14ac:dyDescent="0.3">
      <c r="A25" s="769"/>
      <c r="B25" s="1628" t="s">
        <v>3188</v>
      </c>
      <c r="C25" s="1629"/>
      <c r="H25" s="476"/>
      <c r="S25" s="476" t="s">
        <v>7</v>
      </c>
      <c r="W25" s="772"/>
    </row>
    <row r="26" spans="1:23" ht="13.8" x14ac:dyDescent="0.3"/>
    <row r="27" spans="1:23" ht="17.399999999999999" x14ac:dyDescent="0.3">
      <c r="A27" s="769"/>
      <c r="B27" s="1380" t="s">
        <v>3187</v>
      </c>
      <c r="C27" s="1381"/>
      <c r="H27" s="476"/>
      <c r="S27" s="476" t="s">
        <v>7</v>
      </c>
      <c r="W27" s="772"/>
    </row>
    <row r="28" spans="1:23" ht="9" customHeight="1" x14ac:dyDescent="0.3">
      <c r="A28" s="769"/>
      <c r="B28" s="1304" t="s">
        <v>13</v>
      </c>
      <c r="C28" s="1304"/>
      <c r="H28" s="476"/>
      <c r="W28" s="772"/>
    </row>
    <row r="29" spans="1:23" ht="25.95" customHeight="1" x14ac:dyDescent="0.3">
      <c r="A29" s="769"/>
      <c r="B29" s="1133" t="s">
        <v>8</v>
      </c>
      <c r="C29" s="1134" t="s">
        <v>9</v>
      </c>
      <c r="D29" s="790"/>
      <c r="E29" s="790"/>
      <c r="H29" s="476"/>
      <c r="W29" s="772"/>
    </row>
    <row r="30" spans="1:23" ht="45" customHeight="1" x14ac:dyDescent="0.3">
      <c r="A30" s="769"/>
      <c r="B30" s="1135" t="s">
        <v>10</v>
      </c>
      <c r="C30" s="1259" t="s">
        <v>2400</v>
      </c>
      <c r="D30" s="791"/>
      <c r="E30" s="791"/>
      <c r="H30" s="476"/>
      <c r="W30" s="772"/>
    </row>
    <row r="31" spans="1:23" ht="45" customHeight="1" x14ac:dyDescent="0.3">
      <c r="A31" s="769"/>
      <c r="B31" s="1136" t="s">
        <v>2372</v>
      </c>
      <c r="C31" s="1260" t="s">
        <v>2401</v>
      </c>
      <c r="D31" s="791"/>
      <c r="E31" s="1626"/>
      <c r="F31" s="1626"/>
      <c r="G31" s="1626"/>
      <c r="H31" s="476"/>
      <c r="N31" s="777"/>
      <c r="O31" s="777"/>
      <c r="P31" s="777"/>
      <c r="W31" s="772"/>
    </row>
    <row r="32" spans="1:23" ht="45" customHeight="1" x14ac:dyDescent="0.3">
      <c r="A32" s="769"/>
      <c r="B32" s="1136" t="s">
        <v>2373</v>
      </c>
      <c r="C32" s="1260" t="s">
        <v>3189</v>
      </c>
      <c r="D32" s="791"/>
      <c r="E32" s="791"/>
      <c r="H32" s="476"/>
      <c r="W32" s="772"/>
    </row>
    <row r="33" spans="1:23" ht="45" customHeight="1" x14ac:dyDescent="0.3">
      <c r="A33" s="769"/>
      <c r="B33" s="1136" t="s">
        <v>2374</v>
      </c>
      <c r="C33" s="1260" t="s">
        <v>2355</v>
      </c>
      <c r="D33" s="791"/>
      <c r="E33" s="791"/>
      <c r="H33" s="476"/>
      <c r="W33" s="772"/>
    </row>
    <row r="34" spans="1:23" ht="45" customHeight="1" x14ac:dyDescent="0.3">
      <c r="A34" s="769"/>
      <c r="B34" s="1136" t="s">
        <v>2162</v>
      </c>
      <c r="C34" s="1260" t="s">
        <v>2399</v>
      </c>
      <c r="D34" s="791"/>
      <c r="E34" s="791"/>
      <c r="H34" s="476"/>
      <c r="W34" s="772"/>
    </row>
    <row r="35" spans="1:23" ht="45" customHeight="1" x14ac:dyDescent="0.3">
      <c r="A35" s="769"/>
      <c r="B35" s="1136" t="s">
        <v>2263</v>
      </c>
      <c r="C35" s="1260" t="s">
        <v>3199</v>
      </c>
      <c r="D35" s="791"/>
      <c r="E35" s="791"/>
      <c r="H35" s="476"/>
      <c r="W35" s="772"/>
    </row>
    <row r="36" spans="1:23" ht="8.5500000000000007" customHeight="1" x14ac:dyDescent="0.3">
      <c r="A36" s="769"/>
      <c r="B36" s="1385"/>
      <c r="C36" s="1386"/>
      <c r="D36" s="791"/>
      <c r="E36" s="791"/>
      <c r="H36" s="476"/>
      <c r="W36" s="772"/>
    </row>
    <row r="37" spans="1:23" ht="45" customHeight="1" x14ac:dyDescent="0.3">
      <c r="A37" s="769"/>
      <c r="B37" s="1136" t="s">
        <v>11</v>
      </c>
      <c r="C37" s="1260" t="s">
        <v>2363</v>
      </c>
      <c r="D37" s="791"/>
      <c r="H37" s="476"/>
      <c r="W37" s="772"/>
    </row>
    <row r="38" spans="1:23" ht="45" customHeight="1" x14ac:dyDescent="0.3">
      <c r="A38" s="769"/>
      <c r="B38" s="1136" t="s">
        <v>12</v>
      </c>
      <c r="C38" s="1260" t="s">
        <v>2364</v>
      </c>
      <c r="D38" s="791"/>
      <c r="E38" s="791"/>
      <c r="H38" s="476"/>
      <c r="W38" s="772"/>
    </row>
    <row r="39" spans="1:23" ht="45" customHeight="1" x14ac:dyDescent="0.3">
      <c r="A39" s="769"/>
      <c r="B39" s="1137" t="s">
        <v>14</v>
      </c>
      <c r="C39" s="1261" t="s">
        <v>2402</v>
      </c>
      <c r="D39" s="791"/>
      <c r="E39" s="791"/>
      <c r="H39" s="476"/>
      <c r="W39" s="772"/>
    </row>
    <row r="40" spans="1:23" ht="13.8" x14ac:dyDescent="0.3">
      <c r="A40" s="769"/>
      <c r="B40" s="778"/>
      <c r="C40" s="779"/>
      <c r="H40" s="476"/>
      <c r="W40" s="772"/>
    </row>
    <row r="41" spans="1:23" ht="18.75" customHeight="1" x14ac:dyDescent="0.3">
      <c r="A41" s="769"/>
      <c r="C41" s="476"/>
      <c r="H41" s="476"/>
      <c r="W41" s="772"/>
    </row>
    <row r="42" spans="1:23" ht="18.75" customHeight="1" x14ac:dyDescent="0.3">
      <c r="A42" s="769"/>
      <c r="C42" s="476"/>
      <c r="H42" s="476"/>
      <c r="U42" s="774"/>
      <c r="W42" s="772"/>
    </row>
    <row r="43" spans="1:23" ht="18.75" customHeight="1" x14ac:dyDescent="0.3">
      <c r="C43" s="476"/>
    </row>
    <row r="44" spans="1:23" ht="18.75" customHeight="1" x14ac:dyDescent="0.3">
      <c r="C44" s="476"/>
    </row>
  </sheetData>
  <sheetProtection selectLockedCells="1"/>
  <mergeCells count="15">
    <mergeCell ref="E31:G31"/>
    <mergeCell ref="B16:C16"/>
    <mergeCell ref="B12:C12"/>
    <mergeCell ref="B19:C19"/>
    <mergeCell ref="B25:C25"/>
    <mergeCell ref="B22:C22"/>
    <mergeCell ref="B23:C23"/>
    <mergeCell ref="B24:C24"/>
    <mergeCell ref="B21:C21"/>
    <mergeCell ref="B15:C15"/>
    <mergeCell ref="B11:C11"/>
    <mergeCell ref="B8:C8"/>
    <mergeCell ref="B13:C13"/>
    <mergeCell ref="B14:C14"/>
    <mergeCell ref="B20:C20"/>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tabSelected="1" zoomScale="95" zoomScaleNormal="112" workbookViewId="0">
      <pane ySplit="4" topLeftCell="A20" activePane="bottomLeft" state="frozen"/>
      <selection activeCell="G20" sqref="G20"/>
      <selection pane="bottomLeft" activeCell="C23" sqref="C23"/>
    </sheetView>
  </sheetViews>
  <sheetFormatPr defaultColWidth="8.77734375" defaultRowHeight="14.4" x14ac:dyDescent="0.3"/>
  <cols>
    <col min="1" max="1" width="3.21875" style="395" customWidth="1"/>
    <col min="2" max="2" width="49.6640625" style="395" customWidth="1"/>
    <col min="3" max="3" width="42.44140625" style="395" customWidth="1"/>
    <col min="4" max="4" width="20.44140625" style="395" bestFit="1" customWidth="1"/>
    <col min="5" max="5" width="28.44140625" style="395" customWidth="1"/>
    <col min="6" max="6" width="27.33203125" style="395" customWidth="1"/>
    <col min="7" max="7" width="17.44140625" style="395" customWidth="1"/>
    <col min="8" max="8" width="12.44140625" style="395" customWidth="1"/>
    <col min="9" max="9" width="13.44140625" style="395" customWidth="1"/>
    <col min="10" max="11" width="13.44140625" style="396" customWidth="1"/>
    <col min="12" max="12" width="13.44140625" style="395" customWidth="1"/>
    <col min="13" max="13" width="32.21875" style="395" customWidth="1"/>
    <col min="14" max="14" width="29.44140625" style="397" customWidth="1"/>
    <col min="15" max="15" width="35.77734375" style="397" customWidth="1"/>
    <col min="16" max="16" width="28.44140625" style="395" customWidth="1"/>
    <col min="17" max="17" width="26.44140625" style="395" customWidth="1"/>
    <col min="18" max="16383" width="8.77734375" style="395"/>
    <col min="16384" max="16384" width="8.77734375" style="395" bestFit="1"/>
  </cols>
  <sheetData>
    <row r="1" spans="2:15" s="391" customFormat="1" ht="7.05" customHeight="1" x14ac:dyDescent="0.3">
      <c r="J1" s="392"/>
      <c r="K1" s="392"/>
      <c r="N1" s="393"/>
      <c r="O1" s="393"/>
    </row>
    <row r="2" spans="2:15" s="391" customFormat="1" ht="25.8" x14ac:dyDescent="0.3">
      <c r="B2" s="394" t="s">
        <v>2158</v>
      </c>
      <c r="C2" s="474"/>
      <c r="D2" s="1636" t="s">
        <v>0</v>
      </c>
      <c r="E2" s="1637"/>
      <c r="F2" s="1638"/>
      <c r="G2" s="731"/>
      <c r="J2" s="392"/>
      <c r="K2" s="392"/>
      <c r="N2" s="393"/>
      <c r="O2" s="393"/>
    </row>
    <row r="3" spans="2:15" s="391" customFormat="1" x14ac:dyDescent="0.3">
      <c r="B3" s="472" t="s">
        <v>2198</v>
      </c>
      <c r="D3" s="832" t="s">
        <v>2159</v>
      </c>
      <c r="E3" s="742" t="s">
        <v>2260</v>
      </c>
      <c r="F3" s="836" t="s">
        <v>2239</v>
      </c>
      <c r="G3" s="730"/>
      <c r="J3" s="392"/>
      <c r="K3" s="392"/>
      <c r="N3" s="393"/>
      <c r="O3" s="393"/>
    </row>
    <row r="4" spans="2:15" s="391" customFormat="1" ht="8.5500000000000007" customHeight="1" x14ac:dyDescent="0.3">
      <c r="D4" s="729"/>
      <c r="G4" s="730"/>
      <c r="J4" s="392"/>
      <c r="K4" s="392"/>
      <c r="N4" s="393"/>
      <c r="O4" s="393"/>
    </row>
    <row r="5" spans="2:15" ht="5.55" customHeight="1" x14ac:dyDescent="0.3"/>
    <row r="6" spans="2:15" ht="13.95" customHeight="1" x14ac:dyDescent="0.25">
      <c r="B6" s="740" t="s">
        <v>2</v>
      </c>
      <c r="C6" s="400"/>
      <c r="D6" s="400"/>
      <c r="E6" s="400"/>
      <c r="F6" s="401"/>
      <c r="G6" s="402"/>
      <c r="H6" s="402"/>
      <c r="I6" s="402"/>
      <c r="J6" s="403"/>
      <c r="K6" s="403"/>
      <c r="L6" s="401"/>
      <c r="M6" s="403"/>
      <c r="N6" s="403"/>
      <c r="O6" s="403"/>
    </row>
    <row r="7" spans="2:15" s="624" customFormat="1" ht="26.55" customHeight="1" x14ac:dyDescent="0.3">
      <c r="B7" s="1653" t="s">
        <v>3250</v>
      </c>
      <c r="C7" s="1653"/>
      <c r="D7" s="1653"/>
      <c r="E7" s="1653"/>
      <c r="F7" s="1653"/>
      <c r="G7" s="848"/>
      <c r="H7" s="848"/>
      <c r="I7" s="848"/>
      <c r="L7" s="847"/>
    </row>
    <row r="8" spans="2:15" s="624" customFormat="1" ht="13.8" x14ac:dyDescent="0.3">
      <c r="B8" s="1659" t="s">
        <v>2310</v>
      </c>
      <c r="C8" s="1659"/>
      <c r="D8" s="1659"/>
      <c r="E8" s="1659"/>
      <c r="F8" s="405"/>
      <c r="G8" s="848"/>
      <c r="H8" s="848"/>
      <c r="I8" s="848"/>
      <c r="L8" s="847"/>
    </row>
    <row r="9" spans="2:15" s="624" customFormat="1" ht="13.8" x14ac:dyDescent="0.3">
      <c r="B9" s="1468" t="s">
        <v>3251</v>
      </c>
      <c r="C9" s="1468"/>
      <c r="D9" s="1468"/>
      <c r="E9" s="1468"/>
      <c r="F9" s="405"/>
      <c r="G9" s="848"/>
      <c r="H9" s="848"/>
      <c r="I9" s="848"/>
      <c r="L9" s="847"/>
    </row>
    <row r="10" spans="2:15" s="624" customFormat="1" ht="13.8" x14ac:dyDescent="0.3">
      <c r="B10" s="1660" t="s">
        <v>3252</v>
      </c>
      <c r="C10" s="1660"/>
      <c r="D10" s="1660"/>
      <c r="E10" s="1660"/>
      <c r="F10" s="405"/>
      <c r="G10" s="848"/>
      <c r="H10" s="848"/>
      <c r="I10" s="848"/>
      <c r="L10" s="847"/>
    </row>
    <row r="11" spans="2:15" ht="7.95" customHeight="1" x14ac:dyDescent="0.25">
      <c r="B11" s="406"/>
      <c r="C11" s="406"/>
      <c r="D11" s="406"/>
      <c r="E11" s="405"/>
      <c r="F11" s="405"/>
      <c r="G11" s="407"/>
      <c r="H11" s="407"/>
      <c r="I11" s="407"/>
      <c r="J11" s="395"/>
      <c r="K11" s="395"/>
      <c r="L11" s="405"/>
      <c r="N11" s="395"/>
      <c r="O11" s="395"/>
    </row>
    <row r="12" spans="2:15" s="411" customFormat="1" ht="24" customHeight="1" x14ac:dyDescent="0.3">
      <c r="B12" s="1162" t="s">
        <v>2312</v>
      </c>
      <c r="C12" s="408"/>
      <c r="D12" s="408"/>
      <c r="E12" s="408"/>
      <c r="F12" s="408"/>
      <c r="G12" s="408"/>
      <c r="H12" s="408"/>
      <c r="I12" s="409"/>
      <c r="J12" s="408"/>
      <c r="K12" s="408"/>
      <c r="L12" s="401"/>
      <c r="M12" s="408"/>
      <c r="N12" s="410"/>
      <c r="O12" s="410"/>
    </row>
    <row r="13" spans="2:15" x14ac:dyDescent="0.3">
      <c r="B13" s="395" t="s">
        <v>3296</v>
      </c>
      <c r="I13" s="413"/>
      <c r="J13" s="395"/>
      <c r="K13" s="395"/>
      <c r="L13" s="405"/>
    </row>
    <row r="14" spans="2:15" x14ac:dyDescent="0.3">
      <c r="B14" s="395" t="s">
        <v>3297</v>
      </c>
      <c r="I14" s="413"/>
      <c r="J14" s="395"/>
      <c r="K14" s="395"/>
      <c r="L14" s="405"/>
    </row>
    <row r="15" spans="2:15" x14ac:dyDescent="0.3">
      <c r="B15" s="627"/>
      <c r="I15" s="413"/>
      <c r="J15" s="395"/>
      <c r="K15" s="395"/>
      <c r="L15" s="405"/>
    </row>
    <row r="16" spans="2:15" x14ac:dyDescent="0.3">
      <c r="B16" s="1644" t="s">
        <v>2167</v>
      </c>
      <c r="C16" s="1645"/>
      <c r="I16" s="413"/>
      <c r="J16" s="395"/>
      <c r="K16" s="395"/>
      <c r="L16" s="405"/>
    </row>
    <row r="17" spans="2:12" ht="19.95" customHeight="1" x14ac:dyDescent="0.3">
      <c r="B17" s="865" t="s">
        <v>15</v>
      </c>
      <c r="C17" s="866" t="s">
        <v>295</v>
      </c>
      <c r="D17" s="831"/>
      <c r="E17" s="1639" t="s">
        <v>2269</v>
      </c>
      <c r="F17" s="1640"/>
      <c r="G17" s="418"/>
      <c r="I17" s="416"/>
      <c r="J17" s="416"/>
      <c r="K17" s="416"/>
      <c r="L17" s="413"/>
    </row>
    <row r="18" spans="2:12" ht="24.45" customHeight="1" x14ac:dyDescent="0.3">
      <c r="B18" s="867" t="s">
        <v>1304</v>
      </c>
      <c r="C18" s="868" t="s">
        <v>1431</v>
      </c>
      <c r="D18" s="419"/>
      <c r="E18" s="1641"/>
      <c r="F18" s="1642"/>
      <c r="G18" s="418"/>
      <c r="I18" s="413"/>
      <c r="J18" s="413"/>
      <c r="K18" s="413"/>
      <c r="L18" s="413"/>
    </row>
    <row r="19" spans="2:12" ht="19.95" customHeight="1" x14ac:dyDescent="0.3">
      <c r="B19" s="867" t="s">
        <v>3573</v>
      </c>
      <c r="C19" s="868" t="s">
        <v>1881</v>
      </c>
      <c r="D19" s="420"/>
      <c r="E19" s="1270" t="s">
        <v>16</v>
      </c>
      <c r="F19" s="1265" t="s">
        <v>20</v>
      </c>
      <c r="G19" s="421"/>
      <c r="I19" s="413"/>
      <c r="J19" s="413"/>
      <c r="K19" s="413"/>
      <c r="L19" s="413"/>
    </row>
    <row r="20" spans="2:12" ht="19.95" customHeight="1" x14ac:dyDescent="0.3">
      <c r="B20" s="867" t="s">
        <v>19</v>
      </c>
      <c r="C20" s="868" t="s">
        <v>275</v>
      </c>
      <c r="D20" s="419"/>
      <c r="E20" s="1271" t="s">
        <v>18</v>
      </c>
      <c r="F20" s="1266" t="s">
        <v>20</v>
      </c>
      <c r="G20" s="422"/>
      <c r="I20" s="413"/>
      <c r="J20" s="413"/>
      <c r="K20" s="413"/>
      <c r="L20" s="413"/>
    </row>
    <row r="21" spans="2:12" ht="27" customHeight="1" x14ac:dyDescent="0.3">
      <c r="B21" s="867" t="s">
        <v>3298</v>
      </c>
      <c r="C21" s="868" t="s">
        <v>275</v>
      </c>
      <c r="D21" s="1376"/>
      <c r="E21" s="1272" t="s">
        <v>21</v>
      </c>
      <c r="F21" s="1267" t="s">
        <v>216</v>
      </c>
      <c r="G21" s="422"/>
      <c r="I21" s="413"/>
      <c r="J21" s="413"/>
      <c r="K21" s="413"/>
      <c r="L21" s="413"/>
    </row>
    <row r="22" spans="2:12" ht="25.95" customHeight="1" x14ac:dyDescent="0.3">
      <c r="B22" s="871" t="s">
        <v>2064</v>
      </c>
      <c r="C22" s="1621">
        <v>1324</v>
      </c>
      <c r="D22" s="419"/>
      <c r="E22" s="1272" t="s">
        <v>2240</v>
      </c>
      <c r="F22" s="1268" t="s">
        <v>1279</v>
      </c>
      <c r="I22" s="413"/>
      <c r="J22" s="413"/>
      <c r="K22" s="413"/>
      <c r="L22" s="413"/>
    </row>
    <row r="23" spans="2:12" ht="19.95" customHeight="1" x14ac:dyDescent="0.3">
      <c r="B23" s="869" t="s">
        <v>22</v>
      </c>
      <c r="C23" s="868" t="s">
        <v>3693</v>
      </c>
      <c r="D23" s="423"/>
      <c r="I23" s="413"/>
      <c r="J23" s="413"/>
      <c r="K23" s="413"/>
      <c r="L23" s="413"/>
    </row>
    <row r="24" spans="2:12" ht="19.95" customHeight="1" x14ac:dyDescent="0.3">
      <c r="B24" s="869" t="s">
        <v>23</v>
      </c>
      <c r="C24" s="870" t="s">
        <v>289</v>
      </c>
      <c r="D24" s="417"/>
      <c r="I24" s="413"/>
      <c r="J24" s="413"/>
      <c r="K24" s="424"/>
      <c r="L24" s="413"/>
    </row>
    <row r="25" spans="2:12" ht="19.95" customHeight="1" x14ac:dyDescent="0.3">
      <c r="B25" s="869" t="s">
        <v>24</v>
      </c>
      <c r="C25" s="870" t="s">
        <v>266</v>
      </c>
      <c r="D25" s="417"/>
      <c r="I25" s="413"/>
      <c r="J25" s="413"/>
      <c r="K25" s="424"/>
      <c r="L25" s="413"/>
    </row>
    <row r="26" spans="2:12" ht="52.5" customHeight="1" x14ac:dyDescent="0.3">
      <c r="B26" s="871" t="s">
        <v>3572</v>
      </c>
      <c r="C26" s="868"/>
      <c r="D26" s="1544" t="str">
        <f>IF(AND(C25="Client Custom Rates",ISBLANK(C26)),"Please select Client Rate Card or select different Rate Class","")</f>
        <v/>
      </c>
      <c r="I26" s="413"/>
      <c r="J26" s="413"/>
      <c r="K26" s="425"/>
      <c r="L26" s="413"/>
    </row>
    <row r="27" spans="2:12" ht="19.95" customHeight="1" x14ac:dyDescent="0.3">
      <c r="B27" s="867" t="s">
        <v>1890</v>
      </c>
      <c r="C27" s="872">
        <v>45916</v>
      </c>
      <c r="D27" s="426"/>
      <c r="J27" s="395"/>
      <c r="K27" s="398"/>
    </row>
    <row r="28" spans="2:12" ht="19.95" customHeight="1" x14ac:dyDescent="0.3">
      <c r="B28" s="867" t="s">
        <v>27</v>
      </c>
      <c r="C28" s="1377" t="s">
        <v>223</v>
      </c>
      <c r="D28" s="420"/>
      <c r="J28" s="395"/>
      <c r="K28" s="398"/>
    </row>
    <row r="29" spans="2:12" ht="19.95" customHeight="1" x14ac:dyDescent="0.3">
      <c r="B29" s="867" t="s">
        <v>2286</v>
      </c>
      <c r="C29" s="1377">
        <v>30</v>
      </c>
      <c r="J29" s="395"/>
      <c r="K29" s="398"/>
    </row>
    <row r="30" spans="2:12" ht="19.95" hidden="1" customHeight="1" x14ac:dyDescent="0.3">
      <c r="B30" s="867" t="s">
        <v>2276</v>
      </c>
      <c r="C30" s="872" t="s">
        <v>2278</v>
      </c>
      <c r="J30" s="395"/>
      <c r="K30" s="398"/>
    </row>
    <row r="31" spans="2:12" ht="19.95" customHeight="1" x14ac:dyDescent="0.3">
      <c r="B31" s="867" t="s">
        <v>2190</v>
      </c>
      <c r="C31" s="872" t="s">
        <v>2192</v>
      </c>
      <c r="J31" s="395"/>
      <c r="K31" s="398"/>
    </row>
    <row r="32" spans="2:12" ht="19.95" customHeight="1" x14ac:dyDescent="0.3">
      <c r="B32" s="867" t="s">
        <v>2366</v>
      </c>
      <c r="C32" s="872" t="s">
        <v>2191</v>
      </c>
      <c r="D32" s="420"/>
      <c r="J32" s="395"/>
      <c r="K32" s="398"/>
    </row>
    <row r="33" spans="2:15" ht="26.25" customHeight="1" x14ac:dyDescent="0.3">
      <c r="B33" s="797" t="s">
        <v>2349</v>
      </c>
      <c r="C33" s="1661"/>
      <c r="D33" s="1661"/>
      <c r="E33" s="1661"/>
      <c r="F33" s="1661"/>
      <c r="G33" s="403"/>
      <c r="H33" s="403"/>
      <c r="I33" s="403"/>
      <c r="J33" s="427"/>
      <c r="K33" s="428"/>
      <c r="L33" s="403"/>
      <c r="M33" s="403"/>
      <c r="N33" s="428"/>
      <c r="O33" s="428"/>
    </row>
    <row r="34" spans="2:15" s="624" customFormat="1" ht="28.95" customHeight="1" x14ac:dyDescent="0.3">
      <c r="B34" s="1655" t="s">
        <v>2375</v>
      </c>
      <c r="C34" s="1655"/>
      <c r="D34" s="1655"/>
      <c r="E34" s="1655"/>
      <c r="F34" s="1655"/>
      <c r="G34" s="1262"/>
      <c r="H34" s="1262"/>
    </row>
    <row r="35" spans="2:15" s="624" customFormat="1" ht="29.55" customHeight="1" x14ac:dyDescent="0.3">
      <c r="B35" s="1656" t="s">
        <v>3200</v>
      </c>
      <c r="C35" s="1656"/>
      <c r="D35" s="1656"/>
      <c r="E35" s="1656"/>
      <c r="F35" s="1656"/>
      <c r="G35" s="1262"/>
      <c r="H35" s="1262"/>
    </row>
    <row r="36" spans="2:15" ht="13.8" x14ac:dyDescent="0.25">
      <c r="B36" s="1262"/>
      <c r="C36" s="1262"/>
      <c r="D36" s="1262"/>
      <c r="E36" s="1262"/>
      <c r="F36" s="1262"/>
      <c r="G36" s="1262"/>
      <c r="H36" s="1262"/>
      <c r="J36" s="395"/>
      <c r="K36" s="395"/>
      <c r="N36" s="395"/>
      <c r="O36" s="395"/>
    </row>
    <row r="37" spans="2:15" ht="16.05" customHeight="1" x14ac:dyDescent="0.3">
      <c r="B37" s="1646" t="s">
        <v>2313</v>
      </c>
      <c r="C37" s="1647"/>
      <c r="D37" s="397"/>
      <c r="E37" s="412"/>
      <c r="H37" s="397"/>
      <c r="I37" s="412"/>
      <c r="K37" s="395"/>
      <c r="L37" s="429"/>
      <c r="M37" s="429"/>
    </row>
    <row r="38" spans="2:15" x14ac:dyDescent="0.3">
      <c r="B38" s="1634" t="s">
        <v>3178</v>
      </c>
      <c r="C38" s="1635"/>
      <c r="D38" s="430"/>
      <c r="E38" s="1643"/>
      <c r="F38" s="431"/>
      <c r="G38" s="432"/>
      <c r="H38" s="397"/>
      <c r="I38" s="433"/>
      <c r="J38" s="433"/>
      <c r="K38" s="433"/>
      <c r="L38" s="433"/>
      <c r="M38" s="433"/>
    </row>
    <row r="39" spans="2:15" x14ac:dyDescent="0.3">
      <c r="B39" s="1648" t="s">
        <v>3179</v>
      </c>
      <c r="C39" s="1649"/>
      <c r="D39" s="430"/>
      <c r="E39" s="1643"/>
      <c r="F39" s="431"/>
      <c r="G39" s="432"/>
      <c r="H39" s="397"/>
      <c r="I39" s="434"/>
      <c r="J39" s="432"/>
      <c r="K39" s="425"/>
      <c r="L39" s="432"/>
      <c r="M39" s="435"/>
    </row>
    <row r="40" spans="2:15" ht="17.25" customHeight="1" x14ac:dyDescent="0.3">
      <c r="B40" s="1648" t="s">
        <v>3180</v>
      </c>
      <c r="C40" s="1649"/>
      <c r="D40" s="430"/>
      <c r="E40" s="1643"/>
      <c r="F40" s="431"/>
      <c r="G40" s="432"/>
      <c r="H40" s="397"/>
      <c r="I40" s="434"/>
      <c r="J40" s="432"/>
      <c r="K40" s="425"/>
      <c r="L40" s="432"/>
      <c r="M40" s="435"/>
    </row>
    <row r="41" spans="2:15" x14ac:dyDescent="0.3">
      <c r="B41" s="1648" t="s">
        <v>3181</v>
      </c>
      <c r="C41" s="1649"/>
      <c r="D41" s="430"/>
      <c r="E41" s="1643"/>
      <c r="F41" s="436"/>
      <c r="G41" s="432"/>
      <c r="H41" s="397"/>
      <c r="I41" s="434"/>
      <c r="J41" s="432"/>
      <c r="K41" s="425"/>
      <c r="L41" s="432"/>
      <c r="M41" s="435"/>
    </row>
    <row r="42" spans="2:15" x14ac:dyDescent="0.3">
      <c r="B42" s="1648" t="s">
        <v>3182</v>
      </c>
      <c r="C42" s="1649"/>
      <c r="D42" s="430"/>
      <c r="E42" s="1643"/>
      <c r="F42" s="436"/>
      <c r="G42" s="432"/>
      <c r="H42" s="397"/>
      <c r="I42" s="434"/>
      <c r="J42" s="432"/>
      <c r="K42" s="425"/>
      <c r="L42" s="432"/>
      <c r="M42" s="435"/>
    </row>
    <row r="43" spans="2:15" x14ac:dyDescent="0.3">
      <c r="B43" s="1648" t="s">
        <v>3183</v>
      </c>
      <c r="C43" s="1649"/>
      <c r="D43" s="430"/>
      <c r="E43" s="1643"/>
      <c r="F43" s="436"/>
      <c r="G43" s="432"/>
      <c r="H43" s="397"/>
      <c r="I43" s="434"/>
      <c r="J43" s="432"/>
      <c r="K43" s="425"/>
      <c r="L43" s="432"/>
      <c r="M43" s="435"/>
    </row>
    <row r="44" spans="2:15" x14ac:dyDescent="0.3">
      <c r="B44" s="1632" t="s">
        <v>2242</v>
      </c>
      <c r="C44" s="1633"/>
      <c r="D44" s="430"/>
      <c r="E44" s="1643"/>
      <c r="F44" s="436"/>
      <c r="G44" s="432"/>
      <c r="H44" s="397"/>
      <c r="I44" s="434"/>
      <c r="J44" s="432"/>
      <c r="K44" s="437"/>
      <c r="L44" s="432"/>
      <c r="M44" s="435"/>
    </row>
    <row r="45" spans="2:15" x14ac:dyDescent="0.3">
      <c r="B45" s="1632" t="s">
        <v>2243</v>
      </c>
      <c r="C45" s="1633"/>
      <c r="D45" s="430"/>
      <c r="E45" s="1643"/>
      <c r="F45" s="436"/>
      <c r="G45" s="432"/>
      <c r="H45" s="397"/>
      <c r="I45" s="438"/>
      <c r="J45" s="432"/>
      <c r="K45" s="437"/>
      <c r="L45" s="432"/>
      <c r="M45" s="437"/>
    </row>
    <row r="46" spans="2:15" x14ac:dyDescent="0.3">
      <c r="B46" s="1632" t="s">
        <v>2244</v>
      </c>
      <c r="C46" s="1633"/>
      <c r="D46" s="430"/>
      <c r="E46" s="1643"/>
      <c r="F46" s="436"/>
      <c r="G46" s="432"/>
      <c r="H46" s="397"/>
      <c r="J46" s="397"/>
      <c r="K46" s="395"/>
    </row>
    <row r="47" spans="2:15" x14ac:dyDescent="0.3">
      <c r="B47" s="1632" t="s">
        <v>2245</v>
      </c>
      <c r="C47" s="1633"/>
      <c r="D47" s="430"/>
      <c r="E47" s="1643"/>
      <c r="F47" s="436"/>
      <c r="G47" s="432"/>
      <c r="H47" s="397"/>
      <c r="I47" s="439"/>
      <c r="J47" s="395"/>
      <c r="K47" s="395"/>
    </row>
    <row r="48" spans="2:15" x14ac:dyDescent="0.3">
      <c r="B48" s="1632" t="s">
        <v>2246</v>
      </c>
      <c r="C48" s="1633"/>
      <c r="D48" s="430"/>
      <c r="E48" s="440"/>
      <c r="F48" s="441"/>
      <c r="G48" s="442"/>
      <c r="H48" s="397"/>
      <c r="I48" s="413"/>
      <c r="J48" s="443"/>
      <c r="K48" s="443"/>
      <c r="L48" s="413"/>
      <c r="M48" s="413"/>
    </row>
    <row r="49" spans="2:15" x14ac:dyDescent="0.3">
      <c r="B49" s="1632" t="s">
        <v>2247</v>
      </c>
      <c r="C49" s="1633"/>
      <c r="D49" s="430"/>
      <c r="E49" s="440"/>
      <c r="F49" s="441"/>
      <c r="G49" s="442"/>
      <c r="H49" s="397"/>
      <c r="I49" s="413"/>
      <c r="J49" s="443"/>
      <c r="K49" s="443"/>
      <c r="L49" s="413"/>
      <c r="M49" s="413"/>
    </row>
    <row r="50" spans="2:15" x14ac:dyDescent="0.3">
      <c r="B50" s="1632" t="s">
        <v>2248</v>
      </c>
      <c r="C50" s="1633"/>
      <c r="D50" s="430"/>
      <c r="E50" s="440"/>
      <c r="F50" s="441"/>
      <c r="G50" s="442"/>
      <c r="H50" s="397"/>
      <c r="I50" s="413"/>
      <c r="J50" s="443"/>
      <c r="K50" s="443"/>
      <c r="L50" s="413"/>
      <c r="M50" s="413"/>
    </row>
    <row r="51" spans="2:15" x14ac:dyDescent="0.3">
      <c r="B51" s="1632" t="s">
        <v>2249</v>
      </c>
      <c r="C51" s="1633"/>
      <c r="D51" s="430"/>
      <c r="E51" s="440"/>
      <c r="F51" s="441"/>
      <c r="G51" s="442"/>
      <c r="H51" s="397"/>
      <c r="I51" s="413"/>
      <c r="J51" s="443"/>
      <c r="K51" s="443"/>
      <c r="L51" s="413"/>
      <c r="M51" s="413"/>
    </row>
    <row r="52" spans="2:15" x14ac:dyDescent="0.3">
      <c r="B52" s="1632" t="s">
        <v>2250</v>
      </c>
      <c r="C52" s="1633"/>
      <c r="D52" s="430"/>
      <c r="E52" s="440"/>
      <c r="F52" s="441"/>
      <c r="G52" s="442"/>
      <c r="H52" s="397"/>
      <c r="I52" s="413"/>
      <c r="J52" s="443"/>
      <c r="K52" s="443"/>
      <c r="L52" s="413"/>
      <c r="M52" s="413"/>
    </row>
    <row r="53" spans="2:15" x14ac:dyDescent="0.3">
      <c r="B53" s="1632" t="s">
        <v>2251</v>
      </c>
      <c r="C53" s="1633"/>
      <c r="D53" s="430"/>
      <c r="E53" s="440"/>
      <c r="F53" s="441"/>
      <c r="G53" s="442"/>
      <c r="H53" s="397"/>
      <c r="I53" s="413"/>
      <c r="J53" s="443"/>
      <c r="K53" s="443"/>
      <c r="L53" s="413"/>
      <c r="M53" s="413"/>
    </row>
    <row r="54" spans="2:15" x14ac:dyDescent="0.3">
      <c r="B54" s="1632" t="s">
        <v>2252</v>
      </c>
      <c r="C54" s="1633"/>
      <c r="D54" s="430"/>
      <c r="E54" s="440"/>
      <c r="F54" s="441"/>
      <c r="G54" s="442"/>
      <c r="H54" s="397"/>
      <c r="I54" s="413"/>
      <c r="J54" s="443"/>
      <c r="K54" s="443"/>
      <c r="L54" s="413"/>
      <c r="M54" s="413"/>
    </row>
    <row r="55" spans="2:15" x14ac:dyDescent="0.3">
      <c r="B55" s="1632" t="s">
        <v>2253</v>
      </c>
      <c r="C55" s="1633"/>
      <c r="D55" s="430"/>
      <c r="E55" s="440"/>
      <c r="F55" s="441"/>
      <c r="G55" s="442"/>
      <c r="H55" s="397"/>
      <c r="I55" s="413"/>
      <c r="J55" s="443"/>
      <c r="K55" s="443"/>
      <c r="L55" s="413"/>
      <c r="M55" s="413"/>
    </row>
    <row r="56" spans="2:15" x14ac:dyDescent="0.3">
      <c r="B56" s="1632" t="s">
        <v>2254</v>
      </c>
      <c r="C56" s="1633"/>
      <c r="D56" s="430"/>
      <c r="E56" s="440"/>
      <c r="F56" s="441"/>
      <c r="G56" s="442"/>
      <c r="H56" s="397"/>
      <c r="I56" s="413"/>
      <c r="J56" s="443"/>
      <c r="K56" s="443"/>
      <c r="L56" s="413"/>
      <c r="M56" s="413"/>
    </row>
    <row r="57" spans="2:15" x14ac:dyDescent="0.3">
      <c r="B57" s="1657" t="s">
        <v>2255</v>
      </c>
      <c r="C57" s="1658"/>
      <c r="D57" s="430"/>
      <c r="E57" s="440"/>
      <c r="H57" s="397"/>
      <c r="I57" s="413"/>
      <c r="J57" s="443"/>
      <c r="K57" s="443"/>
      <c r="L57" s="413"/>
      <c r="M57" s="413"/>
    </row>
    <row r="58" spans="2:15" x14ac:dyDescent="0.3">
      <c r="B58" s="444"/>
      <c r="C58" s="445"/>
      <c r="D58" s="445"/>
      <c r="E58" s="446"/>
      <c r="F58" s="447"/>
      <c r="G58" s="447"/>
      <c r="H58" s="411"/>
      <c r="I58" s="448"/>
      <c r="J58" s="449"/>
      <c r="K58" s="450"/>
      <c r="L58" s="413"/>
      <c r="M58" s="413"/>
    </row>
    <row r="59" spans="2:15" ht="17.399999999999999" x14ac:dyDescent="0.3">
      <c r="B59" s="798" t="s">
        <v>2350</v>
      </c>
      <c r="C59" s="799"/>
      <c r="D59" s="451"/>
      <c r="E59" s="452"/>
      <c r="F59" s="453"/>
      <c r="G59" s="453"/>
      <c r="H59" s="403"/>
      <c r="I59" s="454"/>
      <c r="J59" s="455"/>
      <c r="K59" s="456"/>
      <c r="L59" s="454"/>
      <c r="M59" s="454"/>
      <c r="N59" s="428"/>
      <c r="O59" s="428"/>
    </row>
    <row r="60" spans="2:15" s="624" customFormat="1" x14ac:dyDescent="0.3">
      <c r="B60" s="1650" t="s">
        <v>3177</v>
      </c>
      <c r="C60" s="1650"/>
      <c r="D60" s="1650"/>
      <c r="E60" s="1650"/>
      <c r="F60" s="1214"/>
      <c r="G60" s="1214"/>
      <c r="H60" s="1209"/>
      <c r="I60" s="838"/>
      <c r="J60" s="849"/>
      <c r="K60" s="850"/>
      <c r="L60" s="838"/>
      <c r="M60" s="838"/>
      <c r="N60" s="851"/>
      <c r="O60" s="851"/>
    </row>
    <row r="61" spans="2:15" s="624" customFormat="1" x14ac:dyDescent="0.3">
      <c r="B61" s="1654" t="s">
        <v>2404</v>
      </c>
      <c r="C61" s="1654"/>
      <c r="D61" s="1654"/>
      <c r="E61" s="1654"/>
      <c r="F61" s="1654"/>
      <c r="G61" s="1654"/>
      <c r="H61" s="1654"/>
      <c r="I61" s="838"/>
      <c r="J61" s="849"/>
      <c r="K61" s="850"/>
      <c r="L61" s="838"/>
      <c r="M61" s="838"/>
      <c r="N61" s="851"/>
      <c r="O61" s="851"/>
    </row>
    <row r="62" spans="2:15" x14ac:dyDescent="0.3">
      <c r="C62" s="396"/>
      <c r="D62" s="396"/>
      <c r="E62" s="446"/>
      <c r="F62" s="447"/>
      <c r="G62" s="447"/>
      <c r="I62" s="413"/>
      <c r="J62" s="443"/>
      <c r="K62" s="450"/>
      <c r="L62" s="413"/>
      <c r="M62" s="413"/>
    </row>
    <row r="63" spans="2:15" x14ac:dyDescent="0.3">
      <c r="B63" s="1651" t="s">
        <v>2163</v>
      </c>
      <c r="C63" s="1652"/>
      <c r="D63" s="396"/>
      <c r="E63" s="446"/>
      <c r="F63" s="447"/>
      <c r="G63" s="447"/>
      <c r="I63" s="413"/>
      <c r="J63" s="443"/>
      <c r="K63" s="450"/>
      <c r="L63" s="413"/>
      <c r="M63" s="413"/>
    </row>
    <row r="64" spans="2:15" x14ac:dyDescent="0.3">
      <c r="B64" s="873" t="s">
        <v>43</v>
      </c>
      <c r="C64" s="874" t="s">
        <v>2164</v>
      </c>
      <c r="D64" s="423"/>
      <c r="E64" s="446"/>
      <c r="F64" s="447"/>
      <c r="G64" s="447"/>
      <c r="I64" s="413"/>
      <c r="J64" s="443"/>
      <c r="K64" s="450"/>
      <c r="L64" s="413"/>
      <c r="M64" s="413"/>
    </row>
    <row r="65" spans="2:13" x14ac:dyDescent="0.3">
      <c r="B65" s="869" t="s">
        <v>44</v>
      </c>
      <c r="C65" s="875" t="s">
        <v>2165</v>
      </c>
      <c r="D65" s="423"/>
      <c r="I65" s="413"/>
      <c r="J65" s="443"/>
      <c r="K65" s="443"/>
      <c r="L65" s="413"/>
      <c r="M65" s="413"/>
    </row>
    <row r="66" spans="2:13" x14ac:dyDescent="0.3">
      <c r="B66" s="876" t="s">
        <v>45</v>
      </c>
      <c r="C66" s="877" t="s">
        <v>2166</v>
      </c>
      <c r="D66" s="423"/>
      <c r="I66" s="413"/>
      <c r="J66" s="443"/>
      <c r="K66" s="443"/>
      <c r="L66" s="413"/>
      <c r="M66" s="413"/>
    </row>
    <row r="67" spans="2:13" x14ac:dyDescent="0.3">
      <c r="B67" s="396"/>
      <c r="C67" s="446"/>
      <c r="D67" s="446"/>
      <c r="I67" s="413"/>
      <c r="J67" s="443"/>
      <c r="K67" s="443"/>
      <c r="L67" s="413"/>
      <c r="M67" s="413"/>
    </row>
    <row r="68" spans="2:13" x14ac:dyDescent="0.3">
      <c r="C68" s="399"/>
      <c r="D68" s="399"/>
      <c r="E68" s="399"/>
      <c r="F68" s="446"/>
      <c r="G68" s="446"/>
      <c r="I68" s="413"/>
      <c r="J68" s="443"/>
      <c r="K68" s="443"/>
      <c r="L68" s="413"/>
      <c r="M68" s="413"/>
    </row>
    <row r="69" spans="2:13" x14ac:dyDescent="0.3">
      <c r="B69" s="457"/>
      <c r="C69" s="399"/>
      <c r="D69" s="399"/>
      <c r="E69" s="458"/>
      <c r="F69" s="446"/>
      <c r="G69" s="446"/>
      <c r="I69" s="413"/>
      <c r="J69" s="443"/>
      <c r="K69" s="443"/>
      <c r="L69" s="413"/>
      <c r="M69" s="413"/>
    </row>
    <row r="70" spans="2:13" x14ac:dyDescent="0.3">
      <c r="B70" s="457"/>
      <c r="C70" s="396"/>
      <c r="D70" s="396"/>
      <c r="E70" s="429"/>
      <c r="I70" s="413"/>
      <c r="J70" s="443"/>
      <c r="K70" s="443"/>
      <c r="L70" s="413"/>
      <c r="M70" s="413"/>
    </row>
    <row r="71" spans="2:13" x14ac:dyDescent="0.3">
      <c r="B71" s="395" t="s">
        <v>13</v>
      </c>
      <c r="C71" s="459"/>
      <c r="D71" s="459"/>
      <c r="I71" s="413"/>
      <c r="J71" s="443"/>
      <c r="K71" s="443"/>
      <c r="L71" s="413"/>
      <c r="M71" s="413"/>
    </row>
    <row r="72" spans="2:13" x14ac:dyDescent="0.3">
      <c r="C72" s="412"/>
      <c r="D72" s="412"/>
      <c r="I72" s="413"/>
      <c r="J72" s="443"/>
      <c r="K72" s="443"/>
      <c r="L72" s="413"/>
      <c r="M72" s="413"/>
    </row>
    <row r="73" spans="2:13" x14ac:dyDescent="0.3">
      <c r="B73" s="429"/>
      <c r="C73" s="460"/>
      <c r="D73" s="460"/>
      <c r="I73" s="413"/>
      <c r="J73" s="443"/>
      <c r="K73" s="443"/>
      <c r="L73" s="413"/>
      <c r="M73" s="413"/>
    </row>
    <row r="74" spans="2:13" x14ac:dyDescent="0.3">
      <c r="B74" s="461"/>
      <c r="E74" s="439"/>
      <c r="I74" s="413"/>
      <c r="J74" s="443"/>
      <c r="K74" s="443"/>
      <c r="L74" s="413"/>
      <c r="M74" s="413"/>
    </row>
    <row r="75" spans="2:13" x14ac:dyDescent="0.3">
      <c r="B75" s="461"/>
      <c r="C75" s="459"/>
      <c r="D75" s="459"/>
      <c r="E75" s="462"/>
      <c r="I75" s="463"/>
      <c r="J75" s="413"/>
      <c r="K75" s="413"/>
      <c r="L75" s="413"/>
      <c r="M75" s="413"/>
    </row>
    <row r="76" spans="2:13" x14ac:dyDescent="0.3">
      <c r="B76" s="461"/>
      <c r="C76" s="464"/>
      <c r="D76" s="465"/>
      <c r="J76" s="395"/>
      <c r="K76" s="395"/>
    </row>
    <row r="77" spans="2:13" x14ac:dyDescent="0.3">
      <c r="B77" s="429"/>
      <c r="C77" s="439"/>
      <c r="D77" s="439"/>
      <c r="J77" s="395"/>
      <c r="K77" s="395"/>
    </row>
    <row r="78" spans="2:13" x14ac:dyDescent="0.3">
      <c r="B78" s="458"/>
      <c r="C78" s="439"/>
      <c r="D78" s="439"/>
      <c r="J78" s="395"/>
      <c r="K78" s="395"/>
    </row>
    <row r="79" spans="2:13" x14ac:dyDescent="0.3">
      <c r="B79" s="466"/>
      <c r="C79" s="439"/>
      <c r="D79" s="439"/>
      <c r="J79" s="395"/>
      <c r="K79" s="395"/>
    </row>
    <row r="80" spans="2:13" x14ac:dyDescent="0.3">
      <c r="B80" s="399"/>
      <c r="C80" s="439"/>
      <c r="D80" s="439"/>
      <c r="J80" s="395"/>
      <c r="K80" s="395"/>
    </row>
    <row r="81" spans="2:15" x14ac:dyDescent="0.3">
      <c r="B81" s="399"/>
      <c r="C81" s="462"/>
      <c r="D81" s="462"/>
      <c r="J81" s="395"/>
      <c r="K81" s="395"/>
    </row>
    <row r="82" spans="2:15" x14ac:dyDescent="0.3">
      <c r="B82" s="399"/>
      <c r="J82" s="395"/>
      <c r="K82" s="395"/>
    </row>
    <row r="83" spans="2:15" x14ac:dyDescent="0.3">
      <c r="B83" s="399"/>
      <c r="C83" s="458"/>
      <c r="D83" s="458"/>
      <c r="E83" s="458"/>
      <c r="I83" s="458"/>
      <c r="J83" s="395"/>
      <c r="K83" s="395"/>
    </row>
    <row r="84" spans="2:15" s="624" customFormat="1" ht="24" customHeight="1" x14ac:dyDescent="0.3">
      <c r="I84" s="1207"/>
      <c r="N84" s="851"/>
      <c r="O84" s="851"/>
    </row>
    <row r="85" spans="2:15" s="624" customFormat="1" ht="52.05" customHeight="1" x14ac:dyDescent="0.3">
      <c r="I85" s="1208"/>
      <c r="N85" s="851"/>
      <c r="O85" s="851"/>
    </row>
    <row r="86" spans="2:15" ht="16.05" customHeight="1" x14ac:dyDescent="0.3">
      <c r="I86" s="460"/>
      <c r="J86" s="395"/>
      <c r="K86" s="395"/>
    </row>
    <row r="87" spans="2:15" ht="16.05" customHeight="1" x14ac:dyDescent="0.3">
      <c r="I87" s="460"/>
      <c r="J87" s="395"/>
      <c r="K87" s="395"/>
    </row>
    <row r="88" spans="2:15" ht="16.05" customHeight="1" x14ac:dyDescent="0.3">
      <c r="I88" s="460"/>
      <c r="J88" s="395"/>
      <c r="K88" s="395"/>
    </row>
    <row r="89" spans="2:15" ht="16.05" customHeight="1" x14ac:dyDescent="0.3">
      <c r="I89" s="460"/>
      <c r="J89" s="395"/>
      <c r="K89" s="395"/>
    </row>
    <row r="90" spans="2:15" x14ac:dyDescent="0.3">
      <c r="B90" s="396"/>
      <c r="C90" s="396"/>
      <c r="D90" s="396"/>
      <c r="J90" s="395"/>
      <c r="K90" s="395"/>
    </row>
    <row r="91" spans="2:15" x14ac:dyDescent="0.3">
      <c r="B91" s="396"/>
      <c r="C91" s="396"/>
      <c r="D91" s="396"/>
      <c r="J91" s="395"/>
      <c r="K91" s="395"/>
    </row>
    <row r="92" spans="2:15" x14ac:dyDescent="0.3">
      <c r="B92" s="396"/>
      <c r="C92" s="467"/>
      <c r="D92" s="467"/>
      <c r="E92" s="467"/>
      <c r="F92" s="467"/>
      <c r="G92" s="467"/>
      <c r="H92" s="397"/>
      <c r="I92" s="397"/>
      <c r="J92" s="395"/>
      <c r="K92" s="395"/>
    </row>
    <row r="93" spans="2:15" x14ac:dyDescent="0.3">
      <c r="B93" s="396"/>
      <c r="C93" s="468"/>
      <c r="D93" s="468"/>
      <c r="E93" s="468"/>
      <c r="F93" s="468"/>
      <c r="G93" s="468"/>
      <c r="H93" s="468"/>
      <c r="I93" s="468"/>
      <c r="J93" s="395"/>
      <c r="K93" s="395"/>
    </row>
    <row r="94" spans="2:15" x14ac:dyDescent="0.3">
      <c r="B94" s="396"/>
      <c r="C94" s="396"/>
      <c r="D94" s="396"/>
      <c r="E94" s="399"/>
      <c r="J94" s="395"/>
      <c r="K94" s="395"/>
    </row>
    <row r="95" spans="2:15" x14ac:dyDescent="0.3">
      <c r="B95" s="396"/>
      <c r="C95" s="396"/>
      <c r="D95" s="396"/>
      <c r="E95" s="399"/>
      <c r="J95" s="395"/>
      <c r="K95" s="395"/>
    </row>
    <row r="96" spans="2:15" x14ac:dyDescent="0.3">
      <c r="B96" s="396"/>
      <c r="C96" s="396"/>
      <c r="D96" s="396"/>
      <c r="J96" s="395"/>
      <c r="K96" s="395"/>
    </row>
    <row r="97" spans="3:15" x14ac:dyDescent="0.3">
      <c r="C97" s="396"/>
      <c r="D97" s="396"/>
      <c r="J97" s="395"/>
      <c r="K97" s="395"/>
    </row>
    <row r="98" spans="3:15" x14ac:dyDescent="0.3">
      <c r="C98" s="396"/>
      <c r="D98" s="396"/>
      <c r="J98" s="395"/>
      <c r="K98" s="395"/>
    </row>
    <row r="99" spans="3:15" x14ac:dyDescent="0.3">
      <c r="C99" s="396"/>
      <c r="D99" s="396"/>
      <c r="J99" s="395"/>
      <c r="K99" s="395"/>
    </row>
    <row r="100" spans="3:15" ht="13.8" x14ac:dyDescent="0.25">
      <c r="C100" s="396"/>
      <c r="D100" s="396"/>
      <c r="J100" s="395"/>
      <c r="K100" s="395"/>
      <c r="N100" s="395"/>
      <c r="O100" s="395"/>
    </row>
    <row r="101" spans="3:15" ht="13.8" x14ac:dyDescent="0.25">
      <c r="C101" s="396"/>
      <c r="D101" s="396"/>
      <c r="J101" s="395"/>
      <c r="K101" s="395"/>
      <c r="N101" s="395"/>
      <c r="O101" s="395"/>
    </row>
    <row r="102" spans="3:15" ht="13.8" x14ac:dyDescent="0.25">
      <c r="N102" s="395"/>
      <c r="O102" s="395"/>
    </row>
    <row r="103" spans="3:15" ht="13.8" x14ac:dyDescent="0.25">
      <c r="N103" s="395"/>
      <c r="O103" s="395"/>
    </row>
    <row r="104" spans="3:15" ht="13.8" x14ac:dyDescent="0.25">
      <c r="N104" s="395"/>
      <c r="O104" s="395"/>
    </row>
    <row r="105" spans="3:15" ht="13.8" x14ac:dyDescent="0.25">
      <c r="N105" s="395"/>
      <c r="O105" s="395"/>
    </row>
    <row r="106" spans="3:15" ht="13.8" x14ac:dyDescent="0.25">
      <c r="N106" s="395"/>
      <c r="O106" s="395"/>
    </row>
    <row r="107" spans="3:15" ht="13.8" x14ac:dyDescent="0.25">
      <c r="N107" s="395"/>
      <c r="O107" s="395"/>
    </row>
    <row r="108" spans="3:15" ht="13.8" x14ac:dyDescent="0.25">
      <c r="N108" s="395"/>
      <c r="O108" s="395"/>
    </row>
    <row r="109" spans="3:15" ht="13.8" x14ac:dyDescent="0.25">
      <c r="N109" s="395"/>
      <c r="O109" s="395"/>
    </row>
    <row r="110" spans="3:15" ht="13.8" x14ac:dyDescent="0.25">
      <c r="N110" s="395"/>
      <c r="O110" s="395"/>
    </row>
    <row r="111" spans="3:15" ht="13.8" x14ac:dyDescent="0.25">
      <c r="N111" s="395"/>
      <c r="O111" s="395"/>
    </row>
    <row r="112" spans="3:15" ht="13.8" x14ac:dyDescent="0.25">
      <c r="N112" s="395"/>
      <c r="O112" s="395"/>
    </row>
    <row r="113" spans="14:15" ht="13.8" x14ac:dyDescent="0.25">
      <c r="N113" s="395"/>
      <c r="O113" s="395"/>
    </row>
    <row r="114" spans="14:15" ht="13.8" x14ac:dyDescent="0.25">
      <c r="N114" s="395"/>
      <c r="O114" s="395"/>
    </row>
    <row r="115" spans="14:15" ht="13.8" x14ac:dyDescent="0.25">
      <c r="N115" s="395"/>
      <c r="O115" s="395"/>
    </row>
  </sheetData>
  <sheetProtection sort="0" pivotTables="0"/>
  <mergeCells count="34">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 ref="B38:C38"/>
    <mergeCell ref="B47:C47"/>
    <mergeCell ref="B46:C46"/>
    <mergeCell ref="D2:F2"/>
    <mergeCell ref="E17:F18"/>
    <mergeCell ref="E38:E47"/>
    <mergeCell ref="B16:C16"/>
    <mergeCell ref="B37:C37"/>
    <mergeCell ref="B45:C45"/>
    <mergeCell ref="B44:C44"/>
    <mergeCell ref="B43:C43"/>
    <mergeCell ref="B42:C42"/>
    <mergeCell ref="B41:C41"/>
    <mergeCell ref="B52:C52"/>
    <mergeCell ref="B51:C51"/>
    <mergeCell ref="B50:C50"/>
    <mergeCell ref="B49:C49"/>
    <mergeCell ref="B48:C48"/>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77734375" defaultRowHeight="13.05" customHeight="1" x14ac:dyDescent="0.25"/>
  <cols>
    <col min="1" max="1" width="19.44140625" style="2" customWidth="1"/>
    <col min="2" max="2" width="26.77734375" style="2" customWidth="1"/>
    <col min="3" max="3" width="46.21875" style="2" bestFit="1" customWidth="1"/>
    <col min="4" max="5" width="46.21875" style="2" customWidth="1"/>
    <col min="6" max="6" width="70.44140625" style="2" bestFit="1" customWidth="1"/>
    <col min="7" max="7" width="28.44140625" style="2" bestFit="1" customWidth="1"/>
    <col min="8" max="8" width="16.44140625" style="2" customWidth="1"/>
    <col min="9" max="9" width="15.21875" style="2" bestFit="1" customWidth="1"/>
    <col min="10" max="10" width="15" style="76" customWidth="1"/>
    <col min="11" max="11" width="19.44140625" style="2" customWidth="1"/>
    <col min="12" max="17" width="15" style="2" customWidth="1"/>
    <col min="18" max="18" width="16.77734375" style="2" customWidth="1"/>
    <col min="19" max="19" width="30.44140625" style="2" customWidth="1"/>
    <col min="20" max="20" width="15" style="2" customWidth="1"/>
    <col min="21" max="21" width="16.77734375" style="2" customWidth="1"/>
    <col min="22" max="24" width="35.44140625" style="2" customWidth="1"/>
    <col min="25" max="25" width="12.44140625" style="2" customWidth="1"/>
    <col min="26" max="28" width="8.77734375" style="2" customWidth="1"/>
    <col min="29" max="29" width="18.77734375" style="2" customWidth="1"/>
    <col min="30" max="30" width="17.33203125" style="2" bestFit="1" customWidth="1"/>
    <col min="31" max="31" width="19.44140625" style="2" customWidth="1"/>
    <col min="32" max="42" width="8.77734375" style="2" customWidth="1"/>
    <col min="43" max="45" width="8.77734375" style="2"/>
    <col min="46" max="46" width="9.44140625" style="2" customWidth="1"/>
    <col min="47" max="47" width="11.21875" style="2" bestFit="1" customWidth="1"/>
    <col min="48" max="49" width="28.21875" style="2" customWidth="1"/>
    <col min="50" max="52" width="8.77734375" style="2" customWidth="1"/>
    <col min="53" max="53" width="27.44140625" style="2" bestFit="1" customWidth="1"/>
    <col min="54" max="54" width="12.77734375" style="2" customWidth="1"/>
    <col min="55" max="55" width="8.77734375" style="2" customWidth="1"/>
    <col min="56" max="57" width="11.77734375" style="2" bestFit="1" customWidth="1"/>
    <col min="58" max="58" width="8.77734375" style="2" customWidth="1"/>
    <col min="59" max="59" width="15.77734375" style="2" customWidth="1"/>
    <col min="60" max="60" width="8.77734375" style="2" customWidth="1"/>
    <col min="61" max="64" width="8.77734375" style="2"/>
    <col min="65" max="65" width="17.21875" style="2" bestFit="1" customWidth="1"/>
    <col min="66" max="66" width="11.21875" style="2" bestFit="1" customWidth="1"/>
    <col min="67" max="67" width="13.44140625" style="2" bestFit="1" customWidth="1"/>
    <col min="68" max="68" width="32.77734375" style="2" bestFit="1" customWidth="1"/>
    <col min="69" max="69" width="7.44140625" style="2" bestFit="1" customWidth="1"/>
    <col min="70" max="70" width="8.77734375" style="2" bestFit="1" customWidth="1"/>
    <col min="71" max="71" width="12.21875" style="149" bestFit="1" customWidth="1"/>
    <col min="72" max="72" width="12.21875" style="2" bestFit="1" customWidth="1"/>
    <col min="73" max="84" width="8.77734375" style="2"/>
    <col min="85" max="85" width="23.21875" style="2" bestFit="1" customWidth="1"/>
    <col min="86" max="88" width="23.44140625" style="2" bestFit="1" customWidth="1"/>
    <col min="89" max="89" width="27.44140625" style="2" bestFit="1" customWidth="1"/>
    <col min="90" max="90" width="27.44140625" style="2" customWidth="1"/>
    <col min="91" max="91" width="8.77734375" style="39"/>
    <col min="92" max="92" width="66.6640625" style="2" hidden="1" customWidth="1"/>
    <col min="93" max="93" width="75.21875" style="2" hidden="1" customWidth="1"/>
    <col min="94" max="95" width="15.5546875" style="2" bestFit="1" customWidth="1"/>
    <col min="96" max="96" width="15.77734375" style="2" bestFit="1" customWidth="1"/>
    <col min="97" max="97" width="15.88671875" style="2" bestFit="1" customWidth="1"/>
    <col min="98" max="98" width="18.6640625" style="2" bestFit="1" customWidth="1"/>
    <col min="99" max="99" width="9.21875" style="2" bestFit="1" customWidth="1"/>
    <col min="100" max="100" width="52.44140625" style="2" bestFit="1" customWidth="1"/>
    <col min="101" max="101" width="47.77734375" style="2" bestFit="1" customWidth="1"/>
    <col min="102" max="102" width="15.5546875" style="2" bestFit="1" customWidth="1"/>
    <col min="103" max="109" width="8.77734375" style="2"/>
    <col min="110" max="110" width="21.21875" style="2" bestFit="1" customWidth="1"/>
    <col min="111" max="111" width="34.77734375" style="2" bestFit="1" customWidth="1"/>
    <col min="112" max="16384" width="8.77734375" style="2"/>
  </cols>
  <sheetData>
    <row r="1" spans="1:113" s="469" customFormat="1" ht="13.05" customHeight="1" x14ac:dyDescent="0.25">
      <c r="B1" s="1662" t="s">
        <v>231</v>
      </c>
      <c r="C1" s="1662"/>
      <c r="D1" s="1662"/>
      <c r="E1" s="1662"/>
      <c r="F1" s="1662"/>
      <c r="J1" s="757"/>
      <c r="BS1" s="758"/>
      <c r="CM1" s="1575"/>
    </row>
    <row r="2" spans="1:113" s="469" customFormat="1" ht="13.05" customHeight="1" x14ac:dyDescent="0.25">
      <c r="B2" s="1662"/>
      <c r="C2" s="1662"/>
      <c r="D2" s="1662"/>
      <c r="E2" s="1662"/>
      <c r="F2" s="1662"/>
      <c r="J2" s="757"/>
      <c r="BS2" s="758"/>
      <c r="CM2" s="1575"/>
    </row>
    <row r="3" spans="1:113" s="4" customFormat="1" ht="13.05" customHeight="1" x14ac:dyDescent="0.25">
      <c r="A3" s="108"/>
      <c r="B3" s="759" t="s">
        <v>232</v>
      </c>
      <c r="C3" s="108"/>
      <c r="D3" s="108"/>
      <c r="E3" s="108"/>
      <c r="F3" s="108"/>
      <c r="G3" s="108"/>
      <c r="H3" s="108"/>
      <c r="I3" s="108"/>
      <c r="J3" s="74"/>
      <c r="BS3" s="342"/>
      <c r="CM3" s="85"/>
    </row>
    <row r="4" spans="1:113" ht="13.05" customHeight="1" x14ac:dyDescent="0.25">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05" customHeight="1" thickBot="1" x14ac:dyDescent="0.35">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05" customHeight="1" thickBot="1" x14ac:dyDescent="0.35">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05" customHeight="1" thickBot="1" x14ac:dyDescent="0.35">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05" customHeight="1" x14ac:dyDescent="0.3">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05" customHeight="1" thickBot="1" x14ac:dyDescent="0.35">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05" customHeight="1" thickBot="1" x14ac:dyDescent="0.35">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05" customHeight="1" thickBot="1" x14ac:dyDescent="0.35">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05" customHeight="1" thickBot="1" x14ac:dyDescent="0.35">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05" customHeight="1" thickBot="1" x14ac:dyDescent="0.35">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05" customHeight="1" thickBot="1" x14ac:dyDescent="0.35">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05" customHeight="1" x14ac:dyDescent="0.3">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05" customHeight="1" x14ac:dyDescent="0.3">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05" customHeight="1" x14ac:dyDescent="0.3">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05" customHeight="1" x14ac:dyDescent="0.3">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05" customHeight="1" x14ac:dyDescent="0.3">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05" customHeight="1" x14ac:dyDescent="0.3">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05" customHeight="1" x14ac:dyDescent="0.3">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05" customHeight="1" x14ac:dyDescent="0.3">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05" customHeight="1" x14ac:dyDescent="0.3">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05" customHeight="1" x14ac:dyDescent="0.3">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05" customHeight="1" x14ac:dyDescent="0.3">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05" customHeight="1" x14ac:dyDescent="0.3">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05" customHeight="1" x14ac:dyDescent="0.3">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05" customHeight="1" x14ac:dyDescent="0.3">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05" customHeight="1" x14ac:dyDescent="0.3">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05" customHeight="1" x14ac:dyDescent="0.3">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05" customHeight="1" x14ac:dyDescent="0.3">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05" customHeight="1" x14ac:dyDescent="0.3">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05" customHeight="1" x14ac:dyDescent="0.3">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05" customHeight="1" x14ac:dyDescent="0.3">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05" customHeight="1" x14ac:dyDescent="0.3">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05" customHeight="1" x14ac:dyDescent="0.3">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05" customHeight="1" x14ac:dyDescent="0.3">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05" customHeight="1" x14ac:dyDescent="0.3">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05" customHeight="1" x14ac:dyDescent="0.3">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05" customHeight="1" x14ac:dyDescent="0.3">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05" customHeight="1" x14ac:dyDescent="0.3">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05" customHeight="1" x14ac:dyDescent="0.3">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05" customHeight="1" x14ac:dyDescent="0.3">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05" customHeight="1" x14ac:dyDescent="0.3">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05" customHeight="1" x14ac:dyDescent="0.3">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05" customHeight="1" x14ac:dyDescent="0.3">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05" customHeight="1" x14ac:dyDescent="0.3">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05" customHeight="1" x14ac:dyDescent="0.3">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05" customHeight="1" x14ac:dyDescent="0.3">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05" customHeight="1" x14ac:dyDescent="0.3">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05" customHeight="1" x14ac:dyDescent="0.3">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05" customHeight="1" x14ac:dyDescent="0.3">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05" customHeight="1" x14ac:dyDescent="0.3">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05" customHeight="1" x14ac:dyDescent="0.3">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05" customHeight="1" x14ac:dyDescent="0.3">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05" customHeight="1" x14ac:dyDescent="0.3">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05" customHeight="1" x14ac:dyDescent="0.3">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05" customHeight="1" x14ac:dyDescent="0.3">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05" customHeight="1" x14ac:dyDescent="0.3">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05" customHeight="1" x14ac:dyDescent="0.3">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05" customHeight="1" x14ac:dyDescent="0.3">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05" customHeight="1" x14ac:dyDescent="0.3">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05" customHeight="1" x14ac:dyDescent="0.3">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05" customHeight="1" x14ac:dyDescent="0.3">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05" customHeight="1" x14ac:dyDescent="0.3">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05" customHeight="1" x14ac:dyDescent="0.3">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05" customHeight="1" x14ac:dyDescent="0.3">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05" customHeight="1" x14ac:dyDescent="0.3">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05" customHeight="1" x14ac:dyDescent="0.3">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05" customHeight="1" x14ac:dyDescent="0.3">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05" customHeight="1" x14ac:dyDescent="0.3">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05" customHeight="1" x14ac:dyDescent="0.3">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05" customHeight="1" x14ac:dyDescent="0.3">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05" customHeight="1" x14ac:dyDescent="0.3">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05" customHeight="1" x14ac:dyDescent="0.3">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05" customHeight="1" x14ac:dyDescent="0.3">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05" customHeight="1" x14ac:dyDescent="0.3">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05" customHeight="1" x14ac:dyDescent="0.3">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05" customHeight="1" x14ac:dyDescent="0.3">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05" customHeight="1" x14ac:dyDescent="0.3">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05" customHeight="1" x14ac:dyDescent="0.3">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05" customHeight="1" x14ac:dyDescent="0.3">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05" customHeight="1" x14ac:dyDescent="0.3">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05" customHeight="1" x14ac:dyDescent="0.3">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05" customHeight="1" x14ac:dyDescent="0.3">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05" customHeight="1" x14ac:dyDescent="0.3">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05" customHeight="1" x14ac:dyDescent="0.3">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05" customHeight="1" x14ac:dyDescent="0.3">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05" customHeight="1" x14ac:dyDescent="0.3">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05" customHeight="1" x14ac:dyDescent="0.3">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05" customHeight="1" x14ac:dyDescent="0.3">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05" customHeight="1" x14ac:dyDescent="0.3">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05" customHeight="1" x14ac:dyDescent="0.3">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05" customHeight="1" x14ac:dyDescent="0.3">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05" customHeight="1" x14ac:dyDescent="0.3">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05" customHeight="1" x14ac:dyDescent="0.3">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05" customHeight="1" x14ac:dyDescent="0.3">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05" customHeight="1" x14ac:dyDescent="0.3">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05" customHeight="1" x14ac:dyDescent="0.3">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05" customHeight="1" x14ac:dyDescent="0.3">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05" customHeight="1" x14ac:dyDescent="0.3">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05" customHeight="1" x14ac:dyDescent="0.3">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05" customHeight="1" x14ac:dyDescent="0.3">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05" customHeight="1" x14ac:dyDescent="0.3">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05" customHeight="1" x14ac:dyDescent="0.3">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05" customHeight="1" x14ac:dyDescent="0.3">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05" customHeight="1" x14ac:dyDescent="0.3">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05" customHeight="1" x14ac:dyDescent="0.3">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05" customHeight="1" x14ac:dyDescent="0.3">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05" customHeight="1" x14ac:dyDescent="0.3">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05" customHeight="1" x14ac:dyDescent="0.3">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05" customHeight="1" x14ac:dyDescent="0.3">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05" customHeight="1" x14ac:dyDescent="0.3">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05" customHeight="1" x14ac:dyDescent="0.3">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05" customHeight="1" x14ac:dyDescent="0.3">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05" customHeight="1" x14ac:dyDescent="0.3">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05" customHeight="1" x14ac:dyDescent="0.3">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05" customHeight="1" x14ac:dyDescent="0.3">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05" customHeight="1" x14ac:dyDescent="0.3">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05" customHeight="1" x14ac:dyDescent="0.3">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05" customHeight="1" x14ac:dyDescent="0.3">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05" customHeight="1" x14ac:dyDescent="0.3">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05" customHeight="1" x14ac:dyDescent="0.3">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05" customHeight="1" x14ac:dyDescent="0.3">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05" customHeight="1" x14ac:dyDescent="0.3">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05" customHeight="1" x14ac:dyDescent="0.3">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05" customHeight="1" x14ac:dyDescent="0.3">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05" customHeight="1" x14ac:dyDescent="0.3">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05" customHeight="1" x14ac:dyDescent="0.3">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05" customHeight="1" x14ac:dyDescent="0.3">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05" customHeight="1" x14ac:dyDescent="0.3">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05" customHeight="1" x14ac:dyDescent="0.3">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05" customHeight="1" x14ac:dyDescent="0.3">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05" customHeight="1" x14ac:dyDescent="0.3">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05" customHeight="1" x14ac:dyDescent="0.3">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05" customHeight="1" x14ac:dyDescent="0.3">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05" customHeight="1" x14ac:dyDescent="0.3">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05" customHeight="1" x14ac:dyDescent="0.3">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05" customHeight="1" x14ac:dyDescent="0.3">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05" customHeight="1" x14ac:dyDescent="0.3">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05" customHeight="1" x14ac:dyDescent="0.3">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05" customHeight="1" x14ac:dyDescent="0.3">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05" customHeight="1" x14ac:dyDescent="0.3">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05" customHeight="1" x14ac:dyDescent="0.3">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05" customHeight="1" x14ac:dyDescent="0.3">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05" customHeight="1" x14ac:dyDescent="0.3">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05" customHeight="1" x14ac:dyDescent="0.3">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05" customHeight="1" x14ac:dyDescent="0.3">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05" customHeight="1" x14ac:dyDescent="0.3">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05" customHeight="1" x14ac:dyDescent="0.3">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05" customHeight="1" x14ac:dyDescent="0.3">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05" customHeight="1" x14ac:dyDescent="0.3">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05" customHeight="1" x14ac:dyDescent="0.3">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05" customHeight="1" x14ac:dyDescent="0.3">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05" customHeight="1" x14ac:dyDescent="0.3">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05" customHeight="1" x14ac:dyDescent="0.3">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05" customHeight="1" x14ac:dyDescent="0.3">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05" customHeight="1" x14ac:dyDescent="0.3">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05" customHeight="1" x14ac:dyDescent="0.3">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05" customHeight="1" x14ac:dyDescent="0.3">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05" customHeight="1" x14ac:dyDescent="0.3">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05" customHeight="1" x14ac:dyDescent="0.3">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05" customHeight="1" x14ac:dyDescent="0.3">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05" customHeight="1" x14ac:dyDescent="0.3">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05" customHeight="1" x14ac:dyDescent="0.3">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05" customHeight="1" x14ac:dyDescent="0.3">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05" customHeight="1" x14ac:dyDescent="0.3">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05" customHeight="1" x14ac:dyDescent="0.3">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05" customHeight="1" x14ac:dyDescent="0.3">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05" customHeight="1" x14ac:dyDescent="0.3">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05" customHeight="1" x14ac:dyDescent="0.3">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05" customHeight="1" x14ac:dyDescent="0.3">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05" customHeight="1" x14ac:dyDescent="0.25">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05" customHeight="1" x14ac:dyDescent="0.25">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05" customHeight="1" x14ac:dyDescent="0.25">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05" customHeight="1" x14ac:dyDescent="0.25">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05" customHeight="1" x14ac:dyDescent="0.25">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05" customHeight="1" x14ac:dyDescent="0.25">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05" customHeight="1" x14ac:dyDescent="0.25">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05" customHeight="1" x14ac:dyDescent="0.25">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05" customHeight="1" x14ac:dyDescent="0.25">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05" customHeight="1" x14ac:dyDescent="0.25">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05" customHeight="1" x14ac:dyDescent="0.25">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05" customHeight="1" x14ac:dyDescent="0.25">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05" customHeight="1" x14ac:dyDescent="0.25">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05" customHeight="1" x14ac:dyDescent="0.25">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05" customHeight="1" x14ac:dyDescent="0.25">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05" customHeight="1" x14ac:dyDescent="0.25">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05" customHeight="1" x14ac:dyDescent="0.25">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05" customHeight="1" x14ac:dyDescent="0.25">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05" customHeight="1" x14ac:dyDescent="0.25">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05" customHeight="1" x14ac:dyDescent="0.25">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05" customHeight="1" x14ac:dyDescent="0.25">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05" customHeight="1" x14ac:dyDescent="0.25">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05" customHeight="1" x14ac:dyDescent="0.25">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05" customHeight="1" x14ac:dyDescent="0.25">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05" customHeight="1" x14ac:dyDescent="0.25">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05" customHeight="1" x14ac:dyDescent="0.25">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05" customHeight="1" x14ac:dyDescent="0.25">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05" customHeight="1" x14ac:dyDescent="0.25">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05" customHeight="1" x14ac:dyDescent="0.25">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05" customHeight="1" x14ac:dyDescent="0.25">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05" customHeight="1" x14ac:dyDescent="0.25">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05" customHeight="1" x14ac:dyDescent="0.25">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05" customHeight="1" x14ac:dyDescent="0.25">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05" customHeight="1" x14ac:dyDescent="0.25">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05" customHeight="1" x14ac:dyDescent="0.25">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05" customHeight="1" x14ac:dyDescent="0.25">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05" customHeight="1" x14ac:dyDescent="0.25">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05" customHeight="1" x14ac:dyDescent="0.25">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05" customHeight="1" x14ac:dyDescent="0.25">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05" customHeight="1" x14ac:dyDescent="0.25">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05" customHeight="1" x14ac:dyDescent="0.25">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05" customHeight="1" x14ac:dyDescent="0.25">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05" customHeight="1" x14ac:dyDescent="0.25">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05" customHeight="1" x14ac:dyDescent="0.25">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05" customHeight="1" x14ac:dyDescent="0.25">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05" customHeight="1" x14ac:dyDescent="0.25">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05" customHeight="1" x14ac:dyDescent="0.25">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05" customHeight="1" x14ac:dyDescent="0.25">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05" customHeight="1" x14ac:dyDescent="0.25">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05" customHeight="1" x14ac:dyDescent="0.25">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05" customHeight="1" x14ac:dyDescent="0.25">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05" customHeight="1" x14ac:dyDescent="0.25">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05" customHeight="1" x14ac:dyDescent="0.25">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05" customHeight="1" x14ac:dyDescent="0.25">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05" customHeight="1" x14ac:dyDescent="0.25">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05" customHeight="1" x14ac:dyDescent="0.25">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05" customHeight="1" x14ac:dyDescent="0.25">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05" customHeight="1" x14ac:dyDescent="0.25">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05" customHeight="1" x14ac:dyDescent="0.25">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05" customHeight="1" x14ac:dyDescent="0.25">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05" customHeight="1" x14ac:dyDescent="0.25">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05" customHeight="1" x14ac:dyDescent="0.25">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05" customHeight="1" x14ac:dyDescent="0.25">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05" customHeight="1" x14ac:dyDescent="0.25">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05" customHeight="1" x14ac:dyDescent="0.25">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05" customHeight="1" x14ac:dyDescent="0.25">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05" customHeight="1" x14ac:dyDescent="0.25">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05" customHeight="1" x14ac:dyDescent="0.25">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05" customHeight="1" x14ac:dyDescent="0.25">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05" customHeight="1" x14ac:dyDescent="0.25">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05" customHeight="1" x14ac:dyDescent="0.25">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05" customHeight="1" x14ac:dyDescent="0.25">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05" customHeight="1" x14ac:dyDescent="0.25">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05" customHeight="1" x14ac:dyDescent="0.25">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05" customHeight="1" x14ac:dyDescent="0.25">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05" customHeight="1" x14ac:dyDescent="0.25">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05" customHeight="1" x14ac:dyDescent="0.25">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05" customHeight="1" x14ac:dyDescent="0.25">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05" customHeight="1" x14ac:dyDescent="0.25">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05" customHeight="1" x14ac:dyDescent="0.25">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05" customHeight="1" x14ac:dyDescent="0.25">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05" customHeight="1" x14ac:dyDescent="0.25">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05" customHeight="1" x14ac:dyDescent="0.25">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05" customHeight="1" x14ac:dyDescent="0.25">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05" customHeight="1" x14ac:dyDescent="0.25">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05" customHeight="1" x14ac:dyDescent="0.25">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05" customHeight="1" x14ac:dyDescent="0.25">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05" customHeight="1" x14ac:dyDescent="0.25">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05" customHeight="1" x14ac:dyDescent="0.25">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05" customHeight="1" x14ac:dyDescent="0.25">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05" customHeight="1" x14ac:dyDescent="0.25">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05" customHeight="1" x14ac:dyDescent="0.25">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05" customHeight="1" x14ac:dyDescent="0.25">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05" customHeight="1" x14ac:dyDescent="0.25">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05" customHeight="1" x14ac:dyDescent="0.25">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05" customHeight="1" x14ac:dyDescent="0.25">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05" customHeight="1" x14ac:dyDescent="0.25">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05" customHeight="1" x14ac:dyDescent="0.25">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05" customHeight="1" x14ac:dyDescent="0.25">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05" customHeight="1" x14ac:dyDescent="0.25">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05" customHeight="1" x14ac:dyDescent="0.25">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05" customHeight="1" x14ac:dyDescent="0.25">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05" customHeight="1" x14ac:dyDescent="0.25">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05" customHeight="1" x14ac:dyDescent="0.25">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05" customHeight="1" x14ac:dyDescent="0.25">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05" customHeight="1" x14ac:dyDescent="0.25">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05" customHeight="1" x14ac:dyDescent="0.25">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05" customHeight="1" x14ac:dyDescent="0.25">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05" customHeight="1" x14ac:dyDescent="0.25">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05" customHeight="1" x14ac:dyDescent="0.25">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05" customHeight="1" x14ac:dyDescent="0.25">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05" customHeight="1" x14ac:dyDescent="0.25">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05" customHeight="1" x14ac:dyDescent="0.25">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05" customHeight="1" x14ac:dyDescent="0.25">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05" customHeight="1" x14ac:dyDescent="0.25">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05" customHeight="1" x14ac:dyDescent="0.25">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05" customHeight="1" x14ac:dyDescent="0.25">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05" customHeight="1" x14ac:dyDescent="0.25">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05" customHeight="1" x14ac:dyDescent="0.25">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05" customHeight="1" x14ac:dyDescent="0.25">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05" customHeight="1" x14ac:dyDescent="0.25">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05" customHeight="1" x14ac:dyDescent="0.25">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05" customHeight="1" x14ac:dyDescent="0.25">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05" customHeight="1" x14ac:dyDescent="0.25">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05" customHeight="1" x14ac:dyDescent="0.25">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05" customHeight="1" x14ac:dyDescent="0.25">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05" customHeight="1" x14ac:dyDescent="0.25">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05" customHeight="1" x14ac:dyDescent="0.25">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05" customHeight="1" x14ac:dyDescent="0.25">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05" customHeight="1" x14ac:dyDescent="0.25">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05" customHeight="1" x14ac:dyDescent="0.25">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05" customHeight="1" x14ac:dyDescent="0.25">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05" customHeight="1" x14ac:dyDescent="0.25">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05" customHeight="1" x14ac:dyDescent="0.25">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05" customHeight="1" x14ac:dyDescent="0.25">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05" customHeight="1" x14ac:dyDescent="0.25">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05" customHeight="1" x14ac:dyDescent="0.25">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05" customHeight="1" x14ac:dyDescent="0.25">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05" customHeight="1" x14ac:dyDescent="0.25">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05" customHeight="1" x14ac:dyDescent="0.25">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05" customHeight="1" x14ac:dyDescent="0.25">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05" customHeight="1" x14ac:dyDescent="0.25">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05" customHeight="1" x14ac:dyDescent="0.25">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05" customHeight="1" x14ac:dyDescent="0.25">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05" customHeight="1" x14ac:dyDescent="0.25">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05" customHeight="1" x14ac:dyDescent="0.25">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05" customHeight="1" x14ac:dyDescent="0.25">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05" customHeight="1" x14ac:dyDescent="0.25">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05" customHeight="1" x14ac:dyDescent="0.25">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05" customHeight="1" x14ac:dyDescent="0.25">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05" customHeight="1" x14ac:dyDescent="0.25">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05" customHeight="1" x14ac:dyDescent="0.25">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05" customHeight="1" x14ac:dyDescent="0.25">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05" customHeight="1" x14ac:dyDescent="0.25">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05" customHeight="1" x14ac:dyDescent="0.25">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05" customHeight="1" x14ac:dyDescent="0.25">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05" customHeight="1" x14ac:dyDescent="0.25">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05" customHeight="1" x14ac:dyDescent="0.25">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05" customHeight="1" x14ac:dyDescent="0.25">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05" customHeight="1" x14ac:dyDescent="0.25">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05" customHeight="1" x14ac:dyDescent="0.25">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05" customHeight="1" x14ac:dyDescent="0.25">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05" customHeight="1" x14ac:dyDescent="0.25">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05" customHeight="1" x14ac:dyDescent="0.25">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05" customHeight="1" x14ac:dyDescent="0.25">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05" customHeight="1" x14ac:dyDescent="0.25">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05" customHeight="1" x14ac:dyDescent="0.25">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05" customHeight="1" x14ac:dyDescent="0.25">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05" customHeight="1" x14ac:dyDescent="0.25">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05" customHeight="1" x14ac:dyDescent="0.25">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05" customHeight="1" x14ac:dyDescent="0.25">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05" customHeight="1" x14ac:dyDescent="0.25">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05" customHeight="1" x14ac:dyDescent="0.25">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05" customHeight="1" x14ac:dyDescent="0.25">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05" customHeight="1" x14ac:dyDescent="0.25">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05" customHeight="1" x14ac:dyDescent="0.25">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05" customHeight="1" x14ac:dyDescent="0.25">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05" customHeight="1" x14ac:dyDescent="0.25">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05" customHeight="1" x14ac:dyDescent="0.25">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05" customHeight="1" x14ac:dyDescent="0.25">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05" customHeight="1" x14ac:dyDescent="0.25">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05" customHeight="1" x14ac:dyDescent="0.25">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05" customHeight="1" x14ac:dyDescent="0.25">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05" customHeight="1" x14ac:dyDescent="0.25">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05" customHeight="1" x14ac:dyDescent="0.25">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05" customHeight="1" x14ac:dyDescent="0.25">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05" customHeight="1" x14ac:dyDescent="0.25">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05" customHeight="1" x14ac:dyDescent="0.25">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05" customHeight="1" x14ac:dyDescent="0.25">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05" customHeight="1" x14ac:dyDescent="0.25">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05" customHeight="1" x14ac:dyDescent="0.25">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05" customHeight="1" x14ac:dyDescent="0.25">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05" customHeight="1" x14ac:dyDescent="0.25">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05" customHeight="1" x14ac:dyDescent="0.25">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05" customHeight="1" x14ac:dyDescent="0.25">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05" customHeight="1" x14ac:dyDescent="0.25">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05" customHeight="1" x14ac:dyDescent="0.25">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05" customHeight="1" x14ac:dyDescent="0.25">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05" customHeight="1" x14ac:dyDescent="0.25">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05" customHeight="1" x14ac:dyDescent="0.25">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05" customHeight="1" x14ac:dyDescent="0.25">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05" customHeight="1" x14ac:dyDescent="0.25">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05" customHeight="1" x14ac:dyDescent="0.25">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05" customHeight="1" x14ac:dyDescent="0.25">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05" customHeight="1" x14ac:dyDescent="0.25">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05" customHeight="1" x14ac:dyDescent="0.25">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05" customHeight="1" x14ac:dyDescent="0.25">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05" customHeight="1" x14ac:dyDescent="0.25">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05" customHeight="1" x14ac:dyDescent="0.25">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05" customHeight="1" x14ac:dyDescent="0.25">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05" customHeight="1" x14ac:dyDescent="0.25">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05" customHeight="1" x14ac:dyDescent="0.25">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05" customHeight="1" x14ac:dyDescent="0.25">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05" customHeight="1" x14ac:dyDescent="0.25">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05" customHeight="1" x14ac:dyDescent="0.25">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05" customHeight="1" x14ac:dyDescent="0.25">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05" customHeight="1" x14ac:dyDescent="0.25">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05" customHeight="1" x14ac:dyDescent="0.25">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05" customHeight="1" x14ac:dyDescent="0.25">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05" customHeight="1" x14ac:dyDescent="0.25">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05" customHeight="1" x14ac:dyDescent="0.25">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05" customHeight="1" x14ac:dyDescent="0.25">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05" customHeight="1" x14ac:dyDescent="0.25">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05" customHeight="1" x14ac:dyDescent="0.25">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05" customHeight="1" x14ac:dyDescent="0.25">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05" customHeight="1" x14ac:dyDescent="0.25">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05" customHeight="1" x14ac:dyDescent="0.25">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05" customHeight="1" x14ac:dyDescent="0.25">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05" customHeight="1" x14ac:dyDescent="0.25">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05" customHeight="1" x14ac:dyDescent="0.25">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05" customHeight="1" x14ac:dyDescent="0.25">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05" customHeight="1" x14ac:dyDescent="0.25">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05" customHeight="1" x14ac:dyDescent="0.25">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05" customHeight="1" x14ac:dyDescent="0.25">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05" customHeight="1" x14ac:dyDescent="0.25">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05" customHeight="1" x14ac:dyDescent="0.25">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05" customHeight="1" x14ac:dyDescent="0.25">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05" customHeight="1" x14ac:dyDescent="0.25">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05" customHeight="1" x14ac:dyDescent="0.25">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05" customHeight="1" x14ac:dyDescent="0.25">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05" customHeight="1" x14ac:dyDescent="0.25">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05" customHeight="1" x14ac:dyDescent="0.25">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05" customHeight="1" x14ac:dyDescent="0.25">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05" customHeight="1" x14ac:dyDescent="0.25">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05" customHeight="1" x14ac:dyDescent="0.25">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05" customHeight="1" x14ac:dyDescent="0.25">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05" customHeight="1" x14ac:dyDescent="0.25">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05" customHeight="1" x14ac:dyDescent="0.25">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05" customHeight="1" x14ac:dyDescent="0.25">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05" customHeight="1" x14ac:dyDescent="0.25">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05" customHeight="1" x14ac:dyDescent="0.25">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05" customHeight="1" x14ac:dyDescent="0.25">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05" customHeight="1" x14ac:dyDescent="0.25">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05" customHeight="1" x14ac:dyDescent="0.25">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05" customHeight="1" x14ac:dyDescent="0.25">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05" customHeight="1" x14ac:dyDescent="0.25">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05" customHeight="1" x14ac:dyDescent="0.25">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05" customHeight="1" x14ac:dyDescent="0.25">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05" customHeight="1" x14ac:dyDescent="0.25">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05" customHeight="1" x14ac:dyDescent="0.25">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05" customHeight="1" x14ac:dyDescent="0.25">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05" customHeight="1" x14ac:dyDescent="0.25">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05" customHeight="1" x14ac:dyDescent="0.25">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05" customHeight="1" x14ac:dyDescent="0.25">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05" customHeight="1" x14ac:dyDescent="0.25">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05" customHeight="1" x14ac:dyDescent="0.25">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05" customHeight="1" x14ac:dyDescent="0.25">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05" customHeight="1" x14ac:dyDescent="0.25">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05" customHeight="1" x14ac:dyDescent="0.25">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05" customHeight="1" x14ac:dyDescent="0.25">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05" customHeight="1" x14ac:dyDescent="0.25">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05" customHeight="1" x14ac:dyDescent="0.25">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05" customHeight="1" x14ac:dyDescent="0.25">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05" customHeight="1" x14ac:dyDescent="0.25">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05" customHeight="1" x14ac:dyDescent="0.25">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05" customHeight="1" x14ac:dyDescent="0.25">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05" customHeight="1" x14ac:dyDescent="0.25">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05" customHeight="1" x14ac:dyDescent="0.25">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05" customHeight="1" x14ac:dyDescent="0.25">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05" customHeight="1" x14ac:dyDescent="0.25">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05" customHeight="1" x14ac:dyDescent="0.25">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05" customHeight="1" x14ac:dyDescent="0.25">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05" customHeight="1" x14ac:dyDescent="0.25">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05" customHeight="1" x14ac:dyDescent="0.25">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05" customHeight="1" x14ac:dyDescent="0.25">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05" customHeight="1" x14ac:dyDescent="0.25">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05" customHeight="1" x14ac:dyDescent="0.25">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05" customHeight="1" x14ac:dyDescent="0.25">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05" customHeight="1" x14ac:dyDescent="0.25">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05" customHeight="1" x14ac:dyDescent="0.25">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05" customHeight="1" x14ac:dyDescent="0.25">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05" customHeight="1" x14ac:dyDescent="0.25">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05" customHeight="1" x14ac:dyDescent="0.25">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05" customHeight="1" x14ac:dyDescent="0.25">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05" customHeight="1" x14ac:dyDescent="0.25">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05" customHeight="1" x14ac:dyDescent="0.25">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05" customHeight="1" x14ac:dyDescent="0.25">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05" customHeight="1" x14ac:dyDescent="0.25">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05" customHeight="1" x14ac:dyDescent="0.25">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05" customHeight="1" x14ac:dyDescent="0.25">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05" customHeight="1" x14ac:dyDescent="0.25">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05" customHeight="1" x14ac:dyDescent="0.25">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05" customHeight="1" x14ac:dyDescent="0.25">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05" customHeight="1" x14ac:dyDescent="0.25">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05" customHeight="1" x14ac:dyDescent="0.25">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05" customHeight="1" x14ac:dyDescent="0.25">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05" customHeight="1" x14ac:dyDescent="0.25">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05" customHeight="1" x14ac:dyDescent="0.25">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05" customHeight="1" x14ac:dyDescent="0.25">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05" customHeight="1" x14ac:dyDescent="0.25">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05" customHeight="1" x14ac:dyDescent="0.25">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05" customHeight="1" x14ac:dyDescent="0.25">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05" customHeight="1" x14ac:dyDescent="0.25">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05" customHeight="1" x14ac:dyDescent="0.25">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05" customHeight="1" x14ac:dyDescent="0.25">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05" customHeight="1" x14ac:dyDescent="0.25">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05" customHeight="1" x14ac:dyDescent="0.25">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05" customHeight="1" x14ac:dyDescent="0.25">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05" customHeight="1" x14ac:dyDescent="0.25">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05" customHeight="1" x14ac:dyDescent="0.25">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05" customHeight="1" x14ac:dyDescent="0.25">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05" customHeight="1" x14ac:dyDescent="0.25">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05" customHeight="1" x14ac:dyDescent="0.25">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05" customHeight="1" x14ac:dyDescent="0.25">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05" customHeight="1" x14ac:dyDescent="0.25">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05" customHeight="1" x14ac:dyDescent="0.25">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05" customHeight="1" x14ac:dyDescent="0.25">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05" customHeight="1" x14ac:dyDescent="0.25">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05" customHeight="1" x14ac:dyDescent="0.25">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05" customHeight="1" x14ac:dyDescent="0.25">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05" customHeight="1" x14ac:dyDescent="0.25">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05" customHeight="1" x14ac:dyDescent="0.25">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05" customHeight="1" x14ac:dyDescent="0.25">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05" customHeight="1" x14ac:dyDescent="0.25">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05" customHeight="1" x14ac:dyDescent="0.25">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05" customHeight="1" x14ac:dyDescent="0.25">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05" customHeight="1" x14ac:dyDescent="0.25">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05" customHeight="1" x14ac:dyDescent="0.25">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05" customHeight="1" x14ac:dyDescent="0.25">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05" customHeight="1" x14ac:dyDescent="0.25">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05" customHeight="1" x14ac:dyDescent="0.25">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05" customHeight="1" x14ac:dyDescent="0.25">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05" customHeight="1" x14ac:dyDescent="0.25">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05" customHeight="1" x14ac:dyDescent="0.25">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05" customHeight="1" x14ac:dyDescent="0.25">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05" customHeight="1" x14ac:dyDescent="0.25">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05" customHeight="1" x14ac:dyDescent="0.25">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05" customHeight="1" x14ac:dyDescent="0.25">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05" customHeight="1" x14ac:dyDescent="0.25">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05" customHeight="1" x14ac:dyDescent="0.25">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05" customHeight="1" x14ac:dyDescent="0.25">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05" customHeight="1" x14ac:dyDescent="0.25">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05" customHeight="1" x14ac:dyDescent="0.25">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05" customHeight="1" x14ac:dyDescent="0.25">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05" customHeight="1" x14ac:dyDescent="0.25">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05" customHeight="1" x14ac:dyDescent="0.25">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05" customHeight="1" x14ac:dyDescent="0.25">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05" customHeight="1" x14ac:dyDescent="0.25">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05" customHeight="1" x14ac:dyDescent="0.25">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05" customHeight="1" x14ac:dyDescent="0.25">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05" customHeight="1" x14ac:dyDescent="0.25">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05" customHeight="1" x14ac:dyDescent="0.25">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05" customHeight="1" x14ac:dyDescent="0.25">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05" customHeight="1" x14ac:dyDescent="0.25">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05" customHeight="1" x14ac:dyDescent="0.25">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05" customHeight="1" x14ac:dyDescent="0.25">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05" customHeight="1" x14ac:dyDescent="0.25">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05" customHeight="1" x14ac:dyDescent="0.25">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05" customHeight="1" x14ac:dyDescent="0.25">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05" customHeight="1" x14ac:dyDescent="0.25">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05" customHeight="1" x14ac:dyDescent="0.25">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05" customHeight="1" x14ac:dyDescent="0.25">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05" customHeight="1" x14ac:dyDescent="0.25">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05" customHeight="1" x14ac:dyDescent="0.25">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05" customHeight="1" x14ac:dyDescent="0.25">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05" customHeight="1" x14ac:dyDescent="0.25">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05" customHeight="1" x14ac:dyDescent="0.25">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05" customHeight="1" x14ac:dyDescent="0.25">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05" customHeight="1" x14ac:dyDescent="0.25">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05" customHeight="1" x14ac:dyDescent="0.25">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05" customHeight="1" x14ac:dyDescent="0.25">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05" customHeight="1" x14ac:dyDescent="0.25">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05" customHeight="1" x14ac:dyDescent="0.25">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05" customHeight="1" x14ac:dyDescent="0.25">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05" customHeight="1" x14ac:dyDescent="0.25">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05" customHeight="1" x14ac:dyDescent="0.25">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05" customHeight="1" x14ac:dyDescent="0.25">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05" customHeight="1" x14ac:dyDescent="0.25">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05" customHeight="1" x14ac:dyDescent="0.25">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05" customHeight="1" x14ac:dyDescent="0.25">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05" customHeight="1" x14ac:dyDescent="0.25">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05" customHeight="1" x14ac:dyDescent="0.25">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05" customHeight="1" x14ac:dyDescent="0.25">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05" customHeight="1" x14ac:dyDescent="0.25">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05" customHeight="1" x14ac:dyDescent="0.25">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05" customHeight="1" x14ac:dyDescent="0.25">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05" customHeight="1" x14ac:dyDescent="0.25">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05" customHeight="1" x14ac:dyDescent="0.25">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05" customHeight="1" x14ac:dyDescent="0.25">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05" customHeight="1" x14ac:dyDescent="0.25">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05" customHeight="1" x14ac:dyDescent="0.25">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05" customHeight="1" x14ac:dyDescent="0.25">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05" customHeight="1" x14ac:dyDescent="0.25">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05" customHeight="1" x14ac:dyDescent="0.25">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05" customHeight="1" x14ac:dyDescent="0.25">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05" customHeight="1" x14ac:dyDescent="0.25">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05" customHeight="1" x14ac:dyDescent="0.25">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05" customHeight="1" x14ac:dyDescent="0.25">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05" customHeight="1" x14ac:dyDescent="0.25">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05" customHeight="1" x14ac:dyDescent="0.25">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05" customHeight="1" x14ac:dyDescent="0.25">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05" customHeight="1" x14ac:dyDescent="0.25">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05" customHeight="1" x14ac:dyDescent="0.25">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05" customHeight="1" x14ac:dyDescent="0.25">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05" customHeight="1" x14ac:dyDescent="0.25">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05" customHeight="1" x14ac:dyDescent="0.25">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05" customHeight="1" x14ac:dyDescent="0.25">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05" customHeight="1" x14ac:dyDescent="0.25">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05" customHeight="1" x14ac:dyDescent="0.25">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05" customHeight="1" x14ac:dyDescent="0.25">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05" customHeight="1" x14ac:dyDescent="0.25">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05" customHeight="1" x14ac:dyDescent="0.25">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05" customHeight="1" x14ac:dyDescent="0.25">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05" customHeight="1" x14ac:dyDescent="0.25">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05" customHeight="1" x14ac:dyDescent="0.25">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05" customHeight="1" x14ac:dyDescent="0.25">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05" customHeight="1" x14ac:dyDescent="0.25">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05" customHeight="1" x14ac:dyDescent="0.25">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05" customHeight="1" x14ac:dyDescent="0.25">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05" customHeight="1" x14ac:dyDescent="0.25">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05" customHeight="1" x14ac:dyDescent="0.25">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05" customHeight="1" x14ac:dyDescent="0.25">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05" customHeight="1" x14ac:dyDescent="0.25">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05" customHeight="1" x14ac:dyDescent="0.25">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05" customHeight="1" x14ac:dyDescent="0.25">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05" customHeight="1" x14ac:dyDescent="0.25">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05" customHeight="1" x14ac:dyDescent="0.25">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05" customHeight="1" x14ac:dyDescent="0.25">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05" customHeight="1" x14ac:dyDescent="0.25">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05" customHeight="1" x14ac:dyDescent="0.25">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05" customHeight="1" x14ac:dyDescent="0.25">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05" customHeight="1" x14ac:dyDescent="0.25">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05" customHeight="1" x14ac:dyDescent="0.25">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05" customHeight="1" x14ac:dyDescent="0.25">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05" customHeight="1" x14ac:dyDescent="0.25">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05" customHeight="1" x14ac:dyDescent="0.25">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05" customHeight="1" x14ac:dyDescent="0.25">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05" customHeight="1" x14ac:dyDescent="0.25">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05" customHeight="1" x14ac:dyDescent="0.25">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05" customHeight="1" x14ac:dyDescent="0.25">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05" customHeight="1" x14ac:dyDescent="0.25">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05" customHeight="1" x14ac:dyDescent="0.25">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05" customHeight="1" x14ac:dyDescent="0.25">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05" customHeight="1" x14ac:dyDescent="0.25">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05" customHeight="1" x14ac:dyDescent="0.25">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05" customHeight="1" x14ac:dyDescent="0.25">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05" customHeight="1" x14ac:dyDescent="0.25">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05" customHeight="1" x14ac:dyDescent="0.25">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05" customHeight="1" x14ac:dyDescent="0.25">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05" customHeight="1" x14ac:dyDescent="0.25">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05" customHeight="1" x14ac:dyDescent="0.25">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05" customHeight="1" x14ac:dyDescent="0.25">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05" customHeight="1" x14ac:dyDescent="0.25">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05" customHeight="1" x14ac:dyDescent="0.25">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05" customHeight="1" x14ac:dyDescent="0.25">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05" customHeight="1" x14ac:dyDescent="0.25">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05" customHeight="1" x14ac:dyDescent="0.25">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05" customHeight="1" x14ac:dyDescent="0.25">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05" customHeight="1" x14ac:dyDescent="0.25">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05" customHeight="1" x14ac:dyDescent="0.25">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05" customHeight="1" x14ac:dyDescent="0.25">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05" customHeight="1" x14ac:dyDescent="0.25">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05" customHeight="1" x14ac:dyDescent="0.25">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05" customHeight="1" x14ac:dyDescent="0.25">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05" customHeight="1" x14ac:dyDescent="0.25">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05" customHeight="1" x14ac:dyDescent="0.25">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05" customHeight="1" x14ac:dyDescent="0.25">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05" customHeight="1" x14ac:dyDescent="0.25">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05" customHeight="1" x14ac:dyDescent="0.25">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05" customHeight="1" x14ac:dyDescent="0.25">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05" customHeight="1" x14ac:dyDescent="0.25">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05" customHeight="1" x14ac:dyDescent="0.25">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05" customHeight="1" x14ac:dyDescent="0.25">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05" customHeight="1" x14ac:dyDescent="0.25">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05" customHeight="1" x14ac:dyDescent="0.25">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05" customHeight="1" x14ac:dyDescent="0.25">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05" customHeight="1" x14ac:dyDescent="0.25">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05" customHeight="1" x14ac:dyDescent="0.25">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05" customHeight="1" x14ac:dyDescent="0.25">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05" customHeight="1" x14ac:dyDescent="0.25">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05" customHeight="1" x14ac:dyDescent="0.25">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05" customHeight="1" x14ac:dyDescent="0.25">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05" customHeight="1" x14ac:dyDescent="0.25">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05" customHeight="1" x14ac:dyDescent="0.25">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05" customHeight="1" x14ac:dyDescent="0.25">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05" customHeight="1" x14ac:dyDescent="0.25">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05" customHeight="1" x14ac:dyDescent="0.25">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05" customHeight="1" x14ac:dyDescent="0.25">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05" customHeight="1" x14ac:dyDescent="0.25">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05" customHeight="1" x14ac:dyDescent="0.25">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05" customHeight="1" x14ac:dyDescent="0.25">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05" customHeight="1" x14ac:dyDescent="0.25">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05" customHeight="1" x14ac:dyDescent="0.25">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05" customHeight="1" x14ac:dyDescent="0.25">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05" customHeight="1" x14ac:dyDescent="0.25">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05" customHeight="1" x14ac:dyDescent="0.25">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05" customHeight="1" x14ac:dyDescent="0.25">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05" customHeight="1" x14ac:dyDescent="0.25">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05" customHeight="1" x14ac:dyDescent="0.25">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05" customHeight="1" x14ac:dyDescent="0.25">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05" customHeight="1" x14ac:dyDescent="0.25">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05" customHeight="1" x14ac:dyDescent="0.25">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05" customHeight="1" x14ac:dyDescent="0.25">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05" customHeight="1" x14ac:dyDescent="0.25">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05" customHeight="1" x14ac:dyDescent="0.25">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05" customHeight="1" x14ac:dyDescent="0.25">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05" customHeight="1" x14ac:dyDescent="0.25">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05" customHeight="1" x14ac:dyDescent="0.25">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05" customHeight="1" x14ac:dyDescent="0.25">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05" customHeight="1" x14ac:dyDescent="0.25">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05" customHeight="1" x14ac:dyDescent="0.25">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05" customHeight="1" x14ac:dyDescent="0.25">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05" customHeight="1" x14ac:dyDescent="0.25">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05" customHeight="1" x14ac:dyDescent="0.25">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05" customHeight="1" x14ac:dyDescent="0.25">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05" customHeight="1" x14ac:dyDescent="0.25">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05" customHeight="1" x14ac:dyDescent="0.25">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05" customHeight="1" x14ac:dyDescent="0.25">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05" customHeight="1" x14ac:dyDescent="0.25">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05" customHeight="1" x14ac:dyDescent="0.25">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05" customHeight="1" x14ac:dyDescent="0.25">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05" customHeight="1" x14ac:dyDescent="0.25">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05" customHeight="1" x14ac:dyDescent="0.25">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05" customHeight="1" x14ac:dyDescent="0.25">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05" customHeight="1" x14ac:dyDescent="0.25">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05" customHeight="1" x14ac:dyDescent="0.25">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05" customHeight="1" x14ac:dyDescent="0.25">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05" customHeight="1" x14ac:dyDescent="0.25">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05" customHeight="1" x14ac:dyDescent="0.25">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05" customHeight="1" x14ac:dyDescent="0.25">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05" customHeight="1" x14ac:dyDescent="0.25">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05" customHeight="1" x14ac:dyDescent="0.25">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05" customHeight="1" x14ac:dyDescent="0.25">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05" customHeight="1" x14ac:dyDescent="0.25">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05" customHeight="1" x14ac:dyDescent="0.25">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05" customHeight="1" x14ac:dyDescent="0.25">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05" customHeight="1" x14ac:dyDescent="0.25">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05" customHeight="1" x14ac:dyDescent="0.25">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05" customHeight="1" x14ac:dyDescent="0.25">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05" customHeight="1" x14ac:dyDescent="0.25">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05" customHeight="1" x14ac:dyDescent="0.25">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05" customHeight="1" x14ac:dyDescent="0.25">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05" customHeight="1" x14ac:dyDescent="0.25">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05" customHeight="1" x14ac:dyDescent="0.25">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05" customHeight="1" x14ac:dyDescent="0.25">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05" customHeight="1" x14ac:dyDescent="0.25">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05" customHeight="1" x14ac:dyDescent="0.25">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05" customHeight="1" x14ac:dyDescent="0.25">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05" customHeight="1" x14ac:dyDescent="0.25">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05" customHeight="1" x14ac:dyDescent="0.25">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05" customHeight="1" x14ac:dyDescent="0.25">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05" customHeight="1" x14ac:dyDescent="0.25">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05" customHeight="1" x14ac:dyDescent="0.25">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05" customHeight="1" x14ac:dyDescent="0.25">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05" customHeight="1" x14ac:dyDescent="0.25">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05" customHeight="1" x14ac:dyDescent="0.25">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05" customHeight="1" x14ac:dyDescent="0.25">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05" customHeight="1" x14ac:dyDescent="0.25">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05" customHeight="1" x14ac:dyDescent="0.25">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05" customHeight="1" x14ac:dyDescent="0.25">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05" customHeight="1" x14ac:dyDescent="0.25">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05" customHeight="1" x14ac:dyDescent="0.25">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05" customHeight="1" x14ac:dyDescent="0.25">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05" customHeight="1" x14ac:dyDescent="0.25">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05" customHeight="1" x14ac:dyDescent="0.25">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zoomScale="85" zoomScaleNormal="85" workbookViewId="0">
      <pane ySplit="4" topLeftCell="A38" activePane="bottomLeft" state="frozen"/>
      <selection activeCell="G20" sqref="G20"/>
      <selection pane="bottomLeft" activeCell="Y55" sqref="Y55"/>
    </sheetView>
  </sheetViews>
  <sheetFormatPr defaultColWidth="11.44140625" defaultRowHeight="13.8" outlineLevelRow="3" outlineLevelCol="1" x14ac:dyDescent="0.25"/>
  <cols>
    <col min="1" max="1" width="2.44140625" style="395" customWidth="1"/>
    <col min="2" max="2" width="7.21875" style="395" customWidth="1"/>
    <col min="3" max="3" width="26.6640625" style="395" customWidth="1"/>
    <col min="4" max="4" width="37.21875" style="395" customWidth="1"/>
    <col min="5" max="5" width="21.77734375" style="395" hidden="1" customWidth="1"/>
    <col min="6" max="6" width="19.44140625" style="395" bestFit="1" customWidth="1"/>
    <col min="7" max="8" width="32.21875" style="395" hidden="1" customWidth="1"/>
    <col min="9" max="9" width="18.44140625" style="395" bestFit="1" customWidth="1"/>
    <col min="10" max="10" width="32.21875" style="395" hidden="1" customWidth="1"/>
    <col min="11" max="11" width="20.33203125" style="395" customWidth="1"/>
    <col min="12" max="12" width="20.44140625" style="395" bestFit="1" customWidth="1"/>
    <col min="13" max="13" width="19.21875" style="395" customWidth="1"/>
    <col min="14" max="14" width="21.33203125" style="395" customWidth="1"/>
    <col min="15" max="21" width="13.44140625" style="395" customWidth="1"/>
    <col min="22" max="22" width="13.44140625" style="395" hidden="1" customWidth="1"/>
    <col min="23" max="24" width="17.77734375" style="395" hidden="1" customWidth="1"/>
    <col min="25" max="27" width="13.44140625" style="395" customWidth="1"/>
    <col min="28" max="28" width="26.109375" style="395" bestFit="1" customWidth="1"/>
    <col min="29" max="29" width="15.44140625" style="395" customWidth="1" outlineLevel="1"/>
    <col min="30" max="30" width="19.33203125" style="395" bestFit="1" customWidth="1" outlineLevel="1"/>
    <col min="31" max="32" width="19.77734375" style="395" bestFit="1" customWidth="1" outlineLevel="1"/>
    <col min="33" max="68" width="13.44140625" style="395" customWidth="1"/>
    <col min="69" max="69" width="9.21875" style="395" bestFit="1" customWidth="1"/>
    <col min="70" max="70" width="12.77734375" style="395" customWidth="1"/>
    <col min="71" max="71" width="11.44140625" style="395" customWidth="1"/>
    <col min="72" max="73" width="12.77734375" style="395" bestFit="1" customWidth="1"/>
    <col min="74" max="74" width="10.44140625" style="395" customWidth="1"/>
    <col min="75" max="77" width="11.44140625" style="395" customWidth="1"/>
    <col min="78" max="78" width="10.44140625" style="395" customWidth="1"/>
    <col min="79" max="82" width="11.44140625" style="395" customWidth="1"/>
    <col min="83" max="83" width="10.44140625" style="395" customWidth="1"/>
    <col min="84" max="86" width="11.44140625" style="395" customWidth="1"/>
    <col min="87" max="87" width="10.44140625" style="395" customWidth="1"/>
    <col min="88" max="91" width="11.44140625" style="395" customWidth="1"/>
    <col min="92" max="92" width="18.44140625" style="395" customWidth="1"/>
    <col min="93" max="93" width="14.77734375" style="395" customWidth="1"/>
    <col min="94" max="94" width="18.77734375" style="395" customWidth="1"/>
    <col min="95" max="95" width="11.44140625" style="395"/>
    <col min="96" max="96" width="15" style="395" customWidth="1"/>
    <col min="97" max="16384" width="11.44140625" style="395"/>
  </cols>
  <sheetData>
    <row r="1" spans="1:152" s="469" customFormat="1" ht="7.5" customHeight="1" x14ac:dyDescent="0.25">
      <c r="AH1" s="1713"/>
      <c r="AI1" s="1713"/>
      <c r="AJ1" s="1713"/>
    </row>
    <row r="2" spans="1:152" s="469" customFormat="1" ht="25.8" x14ac:dyDescent="0.25">
      <c r="C2" s="855" t="s">
        <v>2376</v>
      </c>
      <c r="F2" s="1715" t="s">
        <v>0</v>
      </c>
      <c r="G2" s="1715"/>
      <c r="H2" s="1715"/>
      <c r="I2" s="1715"/>
      <c r="J2" s="1715"/>
      <c r="K2" s="1715"/>
      <c r="L2" s="1719" t="s">
        <v>2241</v>
      </c>
      <c r="M2" s="1719"/>
      <c r="Q2" s="1722" t="s">
        <v>1677</v>
      </c>
      <c r="R2" s="1722"/>
      <c r="S2" s="1722"/>
      <c r="T2" s="1722"/>
      <c r="U2" s="1722"/>
      <c r="V2" s="1722"/>
      <c r="W2" s="1722"/>
      <c r="X2" s="1722"/>
      <c r="Y2" s="1722"/>
      <c r="AH2" s="470"/>
      <c r="AI2" s="471"/>
      <c r="AJ2" s="471"/>
    </row>
    <row r="3" spans="1:152" s="472" customFormat="1" ht="28.05" customHeight="1" x14ac:dyDescent="0.3">
      <c r="C3" s="1710" t="s">
        <v>2403</v>
      </c>
      <c r="D3" s="1710"/>
      <c r="F3" s="832" t="s">
        <v>2159</v>
      </c>
      <c r="G3" s="743"/>
      <c r="H3" s="743"/>
      <c r="I3" s="742" t="s">
        <v>2260</v>
      </c>
      <c r="J3" s="836" t="s">
        <v>2239</v>
      </c>
      <c r="K3" s="836" t="s">
        <v>2239</v>
      </c>
      <c r="L3" s="1720" t="str">
        <f>IF('5. Import Checklist'!C14="ROPE Ready for Upload",'5. Import Checklist'!C14,"ROPE INCOMPLETE -- WILL NOT UPLOAD")</f>
        <v>ROPE Ready for Upload</v>
      </c>
      <c r="M3" s="1721"/>
      <c r="AH3" s="470"/>
      <c r="AI3" s="471"/>
      <c r="AJ3" s="471"/>
    </row>
    <row r="4" spans="1:152" s="472" customFormat="1" ht="8.5500000000000007" customHeight="1" x14ac:dyDescent="0.3">
      <c r="F4" s="733"/>
      <c r="G4" s="697"/>
      <c r="H4" s="697"/>
      <c r="I4" s="733"/>
      <c r="J4" s="697"/>
      <c r="K4" s="734"/>
      <c r="L4" s="734"/>
      <c r="M4" s="734"/>
      <c r="N4" s="733"/>
      <c r="AH4" s="470"/>
      <c r="AI4" s="471"/>
      <c r="AJ4" s="471"/>
    </row>
    <row r="5" spans="1:152" ht="6" customHeight="1" x14ac:dyDescent="0.25">
      <c r="C5" s="556"/>
      <c r="D5" s="398"/>
      <c r="E5" s="556"/>
      <c r="F5" s="399"/>
      <c r="G5" s="556"/>
      <c r="H5" s="556"/>
      <c r="I5" s="557"/>
      <c r="J5" s="398"/>
      <c r="K5" s="556"/>
      <c r="L5" s="556"/>
      <c r="M5" s="556"/>
      <c r="N5" s="556"/>
      <c r="AH5" s="476"/>
      <c r="AI5" s="477"/>
      <c r="AJ5" s="477"/>
    </row>
    <row r="6" spans="1:152" ht="16.05" customHeight="1" x14ac:dyDescent="0.25">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
      <c r="C7" s="1716" t="s">
        <v>2315</v>
      </c>
      <c r="D7" s="1716"/>
      <c r="E7" s="1716"/>
      <c r="F7" s="1716"/>
      <c r="G7" s="1716"/>
      <c r="H7" s="1717"/>
      <c r="I7" s="1716"/>
      <c r="J7" s="837"/>
      <c r="K7" s="1653" t="s">
        <v>13</v>
      </c>
      <c r="L7" s="1653"/>
      <c r="M7" s="1653"/>
      <c r="N7" s="1653"/>
      <c r="O7" s="1653"/>
      <c r="P7" s="1653"/>
      <c r="Q7" s="1653"/>
      <c r="R7" s="779"/>
      <c r="S7" s="1210"/>
      <c r="AH7" s="787"/>
      <c r="AI7" s="846"/>
      <c r="AJ7" s="846"/>
    </row>
    <row r="8" spans="1:152" s="624" customFormat="1" x14ac:dyDescent="0.3">
      <c r="C8" s="1724" t="s">
        <v>3242</v>
      </c>
      <c r="D8" s="1724"/>
      <c r="E8" s="1724"/>
      <c r="F8" s="1724"/>
      <c r="G8" s="1724"/>
      <c r="H8" s="1724"/>
      <c r="I8" s="1724"/>
      <c r="J8" s="1724"/>
      <c r="K8" s="1724"/>
      <c r="L8" s="1724"/>
      <c r="M8" s="1724"/>
      <c r="N8" s="1724"/>
      <c r="O8" s="779"/>
      <c r="P8" s="779"/>
      <c r="Q8" s="779"/>
      <c r="R8" s="779"/>
      <c r="S8" s="1210"/>
      <c r="AH8" s="787"/>
      <c r="AI8" s="846"/>
      <c r="AJ8" s="846"/>
    </row>
    <row r="9" spans="1:152" s="624" customFormat="1" x14ac:dyDescent="0.3">
      <c r="C9" s="1724" t="s">
        <v>3201</v>
      </c>
      <c r="D9" s="1724"/>
      <c r="E9" s="1724"/>
      <c r="F9" s="1724"/>
      <c r="G9" s="1724"/>
      <c r="H9" s="1724"/>
      <c r="I9" s="1724"/>
      <c r="J9" s="1724"/>
      <c r="K9" s="1724"/>
      <c r="L9" s="1724"/>
      <c r="M9" s="1724"/>
      <c r="N9" s="1724"/>
      <c r="O9" s="791"/>
      <c r="P9" s="791"/>
      <c r="Q9" s="405"/>
      <c r="R9" s="405"/>
      <c r="S9" s="1217"/>
      <c r="AH9" s="787"/>
      <c r="AI9" s="846"/>
      <c r="AJ9" s="846"/>
    </row>
    <row r="10" spans="1:152" s="624" customFormat="1" ht="13.95" customHeight="1" x14ac:dyDescent="0.3">
      <c r="C10" s="1724" t="s">
        <v>3243</v>
      </c>
      <c r="D10" s="1724"/>
      <c r="E10" s="1724"/>
      <c r="F10" s="1724"/>
      <c r="G10" s="1724"/>
      <c r="H10" s="1724"/>
      <c r="I10" s="1724"/>
      <c r="J10" s="1724"/>
      <c r="K10" s="1724"/>
      <c r="L10" s="1724"/>
      <c r="M10" s="1724"/>
      <c r="N10" s="1724"/>
      <c r="O10" s="779"/>
      <c r="P10" s="779"/>
      <c r="Q10" s="405"/>
      <c r="R10" s="405"/>
      <c r="S10" s="1217"/>
      <c r="AH10" s="787"/>
      <c r="AI10" s="846"/>
      <c r="AJ10" s="846"/>
    </row>
    <row r="11" spans="1:152" s="624" customFormat="1" x14ac:dyDescent="0.3">
      <c r="C11" s="1724" t="s">
        <v>3244</v>
      </c>
      <c r="D11" s="1724"/>
      <c r="E11" s="1724"/>
      <c r="F11" s="1724"/>
      <c r="G11" s="1724"/>
      <c r="H11" s="1724"/>
      <c r="I11" s="1724"/>
      <c r="J11" s="1724"/>
      <c r="K11" s="1724"/>
      <c r="L11" s="1724"/>
      <c r="M11" s="1724"/>
      <c r="N11" s="1724"/>
      <c r="O11" s="1468"/>
      <c r="P11" s="1468"/>
      <c r="Q11" s="405"/>
      <c r="R11" s="405"/>
      <c r="S11" s="1217"/>
      <c r="AH11" s="787"/>
      <c r="AI11" s="846"/>
      <c r="AJ11" s="846"/>
    </row>
    <row r="12" spans="1:152" s="624" customFormat="1" x14ac:dyDescent="0.3">
      <c r="C12" s="1723" t="s">
        <v>3245</v>
      </c>
      <c r="D12" s="1723"/>
      <c r="E12" s="1723"/>
      <c r="F12" s="1723"/>
      <c r="G12" s="1723"/>
      <c r="H12" s="1723"/>
      <c r="I12" s="1723"/>
      <c r="J12" s="1723"/>
      <c r="K12" s="1723"/>
      <c r="L12" s="1723"/>
      <c r="M12" s="1723"/>
      <c r="N12" s="1723"/>
      <c r="O12" s="1723"/>
      <c r="P12" s="1723"/>
      <c r="Q12" s="1723"/>
      <c r="R12" s="1723"/>
      <c r="S12" s="1217"/>
      <c r="AH12" s="787"/>
      <c r="AI12" s="846"/>
      <c r="AJ12" s="846"/>
    </row>
    <row r="13" spans="1:152" x14ac:dyDescent="0.25">
      <c r="AH13" s="476"/>
      <c r="AI13" s="477"/>
      <c r="AJ13" s="477"/>
    </row>
    <row r="14" spans="1:152" s="478" customFormat="1" ht="27" customHeight="1" thickBot="1" x14ac:dyDescent="0.3">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
      <c r="C15" s="1718" t="s">
        <v>3246</v>
      </c>
      <c r="D15" s="1718"/>
      <c r="E15" s="1718"/>
      <c r="F15" s="1718"/>
      <c r="G15" s="1718"/>
      <c r="H15" s="1718"/>
      <c r="I15" s="1718"/>
      <c r="AH15" s="845"/>
      <c r="AI15" s="846"/>
      <c r="AJ15" s="846"/>
    </row>
    <row r="16" spans="1:152" x14ac:dyDescent="0.25">
      <c r="AH16" s="404"/>
      <c r="AI16" s="477"/>
      <c r="AJ16" s="477"/>
    </row>
    <row r="17" spans="3:97" ht="23.55" customHeight="1" x14ac:dyDescent="0.25">
      <c r="C17" s="1702" t="s">
        <v>2199</v>
      </c>
      <c r="D17" s="1703"/>
      <c r="E17" s="1703"/>
      <c r="F17" s="1704"/>
      <c r="G17" s="479"/>
      <c r="H17" s="479"/>
      <c r="J17" s="479"/>
      <c r="K17" s="480"/>
      <c r="L17" s="480"/>
      <c r="M17" s="480"/>
      <c r="N17" s="480"/>
      <c r="O17" s="1711"/>
      <c r="P17" s="1711"/>
      <c r="Q17" s="1711"/>
      <c r="R17" s="1711"/>
      <c r="S17" s="1711"/>
      <c r="T17" s="1711"/>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19.95" customHeight="1" x14ac:dyDescent="0.25">
      <c r="C18" s="1736" t="s">
        <v>15</v>
      </c>
      <c r="D18" s="1736"/>
      <c r="E18" s="1670" t="str">
        <f>'1. Project Inputs'!C17</f>
        <v>Dallas</v>
      </c>
      <c r="F18" s="1671"/>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19.95" customHeight="1" x14ac:dyDescent="0.25">
      <c r="C19" s="1737" t="s">
        <v>1304</v>
      </c>
      <c r="D19" s="1737"/>
      <c r="E19" s="1672" t="str">
        <f>'1. Project Inputs'!C18</f>
        <v>C Spire</v>
      </c>
      <c r="F19" s="1673"/>
      <c r="G19" s="491"/>
      <c r="H19" s="491"/>
      <c r="I19" s="491"/>
      <c r="J19" s="491"/>
      <c r="K19" s="413"/>
      <c r="L19" s="1607" t="s">
        <v>2021</v>
      </c>
      <c r="M19" s="1608">
        <f>'3. Financial Inputs'!C67</f>
        <v>0</v>
      </c>
      <c r="N19" s="413"/>
      <c r="O19" s="492"/>
      <c r="P19" s="492"/>
      <c r="Q19" s="492"/>
      <c r="R19" s="492"/>
      <c r="S19" s="492"/>
      <c r="T19" s="795"/>
      <c r="U19" s="795"/>
      <c r="V19" s="795"/>
      <c r="W19" s="398"/>
      <c r="X19" s="398"/>
      <c r="Y19" s="493"/>
      <c r="Z19" s="493"/>
      <c r="AH19" s="492"/>
      <c r="AI19" s="1714"/>
      <c r="AJ19" s="1714"/>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19.95" customHeight="1" x14ac:dyDescent="0.25">
      <c r="C20" s="1737" t="s">
        <v>3573</v>
      </c>
      <c r="D20" s="1737"/>
      <c r="E20" s="1672" t="str">
        <f>'1. Project Inputs'!C19</f>
        <v>TA Digital</v>
      </c>
      <c r="F20" s="1673"/>
      <c r="G20" s="488"/>
      <c r="H20" s="488"/>
      <c r="I20" s="488"/>
      <c r="J20" s="488"/>
      <c r="K20" s="494"/>
      <c r="L20" s="1607"/>
      <c r="M20" s="1609"/>
      <c r="N20" s="494"/>
      <c r="O20" s="804"/>
      <c r="P20" s="804"/>
      <c r="Q20" s="804"/>
      <c r="R20" s="804"/>
      <c r="S20" s="804"/>
      <c r="T20" s="496"/>
      <c r="U20" s="496"/>
      <c r="V20" s="399"/>
      <c r="W20" s="399"/>
      <c r="X20" s="399"/>
      <c r="Y20" s="399"/>
      <c r="Z20" s="496"/>
      <c r="AH20" s="495"/>
      <c r="AI20" s="1712"/>
      <c r="AJ20" s="1712"/>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19.95" customHeight="1" x14ac:dyDescent="0.25">
      <c r="C21" s="1737" t="s">
        <v>19</v>
      </c>
      <c r="D21" s="1737"/>
      <c r="E21" s="1672" t="str">
        <f>'1. Project Inputs'!C19</f>
        <v>TA Digital</v>
      </c>
      <c r="F21" s="1673"/>
      <c r="G21" s="488"/>
      <c r="H21" s="488"/>
      <c r="I21" s="488"/>
      <c r="J21" s="488"/>
      <c r="K21" s="494"/>
      <c r="L21" s="1607" t="s">
        <v>3299</v>
      </c>
      <c r="M21" s="1610">
        <f>'4. Summary &amp; Totals'!C45</f>
        <v>997395</v>
      </c>
      <c r="N21" s="494"/>
      <c r="O21" s="804"/>
      <c r="P21" s="804"/>
      <c r="Q21" s="804"/>
      <c r="R21" s="804"/>
      <c r="S21" s="804"/>
      <c r="T21" s="496"/>
      <c r="U21" s="496"/>
      <c r="V21" s="399"/>
      <c r="W21" s="399"/>
      <c r="X21" s="399"/>
      <c r="Y21" s="399"/>
      <c r="Z21" s="496"/>
      <c r="AH21" s="495"/>
      <c r="AI21" s="1712"/>
      <c r="AJ21" s="1712"/>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19.95" customHeight="1" x14ac:dyDescent="0.25">
      <c r="C22" s="1737" t="s">
        <v>3212</v>
      </c>
      <c r="D22" s="1737"/>
      <c r="E22" s="1672" t="str">
        <f>'1. Project Inputs'!C20</f>
        <v>No</v>
      </c>
      <c r="F22" s="1673"/>
      <c r="G22" s="488"/>
      <c r="H22" s="488"/>
      <c r="I22" s="488"/>
      <c r="J22" s="488"/>
      <c r="K22" s="494"/>
      <c r="L22" s="1607" t="s">
        <v>1673</v>
      </c>
      <c r="M22" s="1609">
        <f>'4. Summary &amp; Totals'!C37</f>
        <v>0.58280428841706955</v>
      </c>
      <c r="N22" s="494"/>
      <c r="O22" s="804"/>
      <c r="P22" s="804"/>
      <c r="Q22" s="804"/>
      <c r="R22" s="804"/>
      <c r="S22" s="804"/>
      <c r="T22" s="496"/>
      <c r="U22" s="496"/>
      <c r="V22" s="399"/>
      <c r="W22" s="399"/>
      <c r="X22" s="399"/>
      <c r="Y22" s="399"/>
      <c r="Z22" s="496"/>
      <c r="AH22" s="495"/>
      <c r="AI22" s="1712"/>
      <c r="AJ22" s="1712"/>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19.95" customHeight="1" x14ac:dyDescent="0.25">
      <c r="C23" s="1738" t="s">
        <v>2064</v>
      </c>
      <c r="D23" s="1738"/>
      <c r="E23" s="1672">
        <f>'1. Project Inputs'!C22</f>
        <v>1324</v>
      </c>
      <c r="F23" s="1673"/>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12"/>
      <c r="AJ23" s="1712"/>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19.95" customHeight="1" x14ac:dyDescent="0.25">
      <c r="C24" s="1738" t="s">
        <v>22</v>
      </c>
      <c r="D24" s="1738"/>
      <c r="E24" s="1672" t="str">
        <f>'1. Project Inputs'!C23</f>
        <v>Green Dot Marketing 2025</v>
      </c>
      <c r="F24" s="1673"/>
      <c r="G24" s="488"/>
      <c r="H24" s="488"/>
      <c r="I24" s="488"/>
      <c r="J24" s="488"/>
      <c r="K24" s="484"/>
      <c r="L24" s="1607"/>
      <c r="M24" s="1607"/>
      <c r="N24" s="484"/>
      <c r="O24" s="804"/>
      <c r="P24" s="804"/>
      <c r="Q24" s="804"/>
      <c r="R24" s="804"/>
      <c r="S24" s="804"/>
      <c r="T24" s="496"/>
      <c r="U24" s="496"/>
      <c r="V24" s="399"/>
      <c r="W24" s="399"/>
      <c r="X24" s="399"/>
      <c r="Y24" s="399"/>
      <c r="Z24" s="496"/>
      <c r="AC24" s="1728" t="s">
        <v>100</v>
      </c>
      <c r="AD24" s="1728"/>
      <c r="AE24" s="1728"/>
      <c r="AF24" s="1728"/>
      <c r="AH24" s="495"/>
      <c r="AI24" s="1712"/>
      <c r="AJ24" s="1712"/>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19.95" customHeight="1" x14ac:dyDescent="0.25">
      <c r="C25" s="1738" t="s">
        <v>23</v>
      </c>
      <c r="D25" s="1738"/>
      <c r="E25" s="1670" t="str">
        <f>'1. Project Inputs'!C24</f>
        <v>Digital - Systems Implementation</v>
      </c>
      <c r="F25" s="1671"/>
      <c r="G25" s="488"/>
      <c r="H25" s="488"/>
      <c r="I25" s="488"/>
      <c r="J25" s="488"/>
      <c r="K25" s="413"/>
      <c r="L25" s="413"/>
      <c r="M25" s="413"/>
      <c r="N25" s="413"/>
      <c r="O25" s="804"/>
      <c r="P25" s="804"/>
      <c r="Q25" s="804"/>
      <c r="R25" s="804"/>
      <c r="S25" s="804"/>
      <c r="T25" s="496"/>
      <c r="U25" s="496"/>
      <c r="V25" s="399"/>
      <c r="W25" s="399"/>
      <c r="X25" s="399"/>
      <c r="Y25" s="399"/>
      <c r="Z25" s="496"/>
      <c r="AB25" s="466"/>
      <c r="AC25" s="1728"/>
      <c r="AD25" s="1728"/>
      <c r="AE25" s="1728"/>
      <c r="AF25" s="1728"/>
      <c r="AH25" s="495"/>
      <c r="AI25" s="1712"/>
      <c r="AJ25" s="1712"/>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19.95" customHeight="1" thickBot="1" x14ac:dyDescent="0.3">
      <c r="C26" s="1738" t="s">
        <v>24</v>
      </c>
      <c r="D26" s="1738"/>
      <c r="E26" s="1670" t="str">
        <f>'1. Project Inputs'!C25</f>
        <v>Standard Rates</v>
      </c>
      <c r="F26" s="1671"/>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12"/>
      <c r="AJ26" s="1712"/>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
      <c r="C27" s="1739" t="s">
        <v>2311</v>
      </c>
      <c r="D27" s="1739"/>
      <c r="E27" s="1672" t="str">
        <f>IF(ISBLANK('1. Project Inputs'!C26)," ",'1. Project Inputs'!C26)</f>
        <v xml:space="preserve"> </v>
      </c>
      <c r="F27" s="1673"/>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12"/>
      <c r="AJ27" s="1712"/>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19.95" customHeight="1" x14ac:dyDescent="0.25">
      <c r="C28" s="1737" t="s">
        <v>1890</v>
      </c>
      <c r="D28" s="1737"/>
      <c r="E28" s="1674">
        <f>'1. Project Inputs'!C27</f>
        <v>45916</v>
      </c>
      <c r="F28" s="1675"/>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732400</v>
      </c>
      <c r="AE28" s="517">
        <f>IF(AE48="","",SUMIFS($D$291:$D$390,$AE$48:$AE$147,"Yes"))</f>
        <v>252400</v>
      </c>
      <c r="AF28" s="1457">
        <f>IF(AF48="","",SUMIFS($D$291:$D$390,$AF$48:$AF$147,"Yes"))</f>
        <v>306400</v>
      </c>
      <c r="AH28" s="495"/>
      <c r="AI28" s="1712"/>
      <c r="AJ28" s="1712"/>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19.95" customHeight="1" x14ac:dyDescent="0.25">
      <c r="C29" s="1737" t="s">
        <v>27</v>
      </c>
      <c r="D29" s="1737"/>
      <c r="E29" s="1674" t="str">
        <f>'1. Project Inputs'!C28</f>
        <v>T&amp;M</v>
      </c>
      <c r="F29" s="1675"/>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331440</v>
      </c>
      <c r="AE29" s="517">
        <f>IF(AE48="","",SUMIFS($F$291:$F$390,$AE$48:$AE$147,"Yes"))</f>
        <v>99840</v>
      </c>
      <c r="AF29" s="1457">
        <f>IF(AF48="","",SUMIFS($F$291:$F$390,$AF$48:$AF$147,"Yes"))</f>
        <v>139440</v>
      </c>
      <c r="AH29" s="495"/>
      <c r="AI29" s="1712"/>
      <c r="AJ29" s="1712"/>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19.95" customHeight="1" thickBot="1" x14ac:dyDescent="0.3">
      <c r="C30" s="1740" t="s">
        <v>2286</v>
      </c>
      <c r="D30" s="1740"/>
      <c r="E30" s="1676">
        <f>'1. Project Inputs'!C29</f>
        <v>30</v>
      </c>
      <c r="F30" s="1677"/>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58.352112676056336</v>
      </c>
      <c r="AE30" s="1459">
        <f>IFERROR(AE29/SUMIFS($M$291:$M$390,AE48:AE147,"Yes"),"")</f>
        <v>48</v>
      </c>
      <c r="AF30" s="1460">
        <f>IFERROR(AF29/SUMIFS($M$291:$M$390,AF48:AF147,"Yes"),"")</f>
        <v>42.512195121951223</v>
      </c>
      <c r="AH30" s="441"/>
      <c r="AI30" s="1712"/>
      <c r="AJ30" s="1712"/>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19.95" hidden="1" customHeight="1" x14ac:dyDescent="0.25">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25">
      <c r="C32" s="796" t="s">
        <v>2291</v>
      </c>
      <c r="D32" s="413" t="str">
        <f>'6. Commercial Review'!B68</f>
        <v>Missing Information</v>
      </c>
      <c r="E32" s="413"/>
      <c r="F32" s="1699" t="s">
        <v>2292</v>
      </c>
      <c r="G32" s="1699"/>
      <c r="H32" s="1699"/>
      <c r="I32" s="1699"/>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050000000000001" customHeight="1" x14ac:dyDescent="0.25">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2.95" customHeight="1" x14ac:dyDescent="0.25">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3.95" customHeight="1" x14ac:dyDescent="0.3">
      <c r="B35" s="841"/>
      <c r="C35" s="1705" t="s">
        <v>3202</v>
      </c>
      <c r="D35" s="1705"/>
      <c r="E35" s="1705"/>
      <c r="F35" s="1705"/>
      <c r="G35" s="1705"/>
      <c r="H35" s="1705"/>
      <c r="I35" s="1705"/>
      <c r="J35" s="1705"/>
      <c r="K35" s="1705"/>
      <c r="L35" s="1705"/>
      <c r="M35" s="1705"/>
      <c r="N35" s="1705"/>
      <c r="O35" s="1705"/>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
      <c r="B36" s="841"/>
      <c r="C36" s="1691" t="s">
        <v>2315</v>
      </c>
      <c r="D36" s="1691"/>
      <c r="E36" s="1691"/>
      <c r="F36" s="1691"/>
      <c r="G36" s="1691"/>
      <c r="H36" s="1691"/>
      <c r="I36" s="1691"/>
      <c r="J36" s="1691"/>
      <c r="K36" s="1691"/>
      <c r="L36" s="1691"/>
      <c r="M36" s="1691"/>
      <c r="N36" s="1691"/>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
      <c r="B37" s="841"/>
      <c r="C37" s="1700" t="s">
        <v>3235</v>
      </c>
      <c r="D37" s="1700"/>
      <c r="E37" s="1700"/>
      <c r="F37" s="1700"/>
      <c r="G37" s="1700"/>
      <c r="H37" s="1700"/>
      <c r="I37" s="1700"/>
      <c r="J37" s="1700"/>
      <c r="K37" s="1700"/>
      <c r="L37" s="1700"/>
      <c r="M37" s="1700"/>
      <c r="N37" s="1700"/>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
      <c r="B38" s="841"/>
      <c r="C38" s="1700" t="s">
        <v>3236</v>
      </c>
      <c r="D38" s="1700"/>
      <c r="E38" s="1700"/>
      <c r="F38" s="1700"/>
      <c r="G38" s="1700"/>
      <c r="H38" s="1700"/>
      <c r="I38" s="1700"/>
      <c r="J38" s="1700"/>
      <c r="K38" s="1700"/>
      <c r="L38" s="1700"/>
      <c r="M38" s="1700"/>
      <c r="N38" s="1700"/>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
      <c r="B39" s="841"/>
      <c r="C39" s="1742" t="s">
        <v>3237</v>
      </c>
      <c r="D39" s="1742"/>
      <c r="E39" s="1742"/>
      <c r="F39" s="1742"/>
      <c r="G39" s="1742"/>
      <c r="H39" s="1742"/>
      <c r="I39" s="1742"/>
      <c r="J39" s="1742"/>
      <c r="K39" s="1742"/>
      <c r="L39" s="1742"/>
      <c r="M39" s="1742"/>
      <c r="N39" s="1742"/>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
      <c r="B40" s="841"/>
      <c r="C40" s="1700" t="s">
        <v>3238</v>
      </c>
      <c r="D40" s="1700"/>
      <c r="E40" s="1700"/>
      <c r="F40" s="1700"/>
      <c r="G40" s="1700"/>
      <c r="H40" s="1700"/>
      <c r="I40" s="1700"/>
      <c r="J40" s="1700"/>
      <c r="K40" s="1700"/>
      <c r="L40" s="1700"/>
      <c r="M40" s="1700"/>
      <c r="N40" s="1700"/>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
      <c r="B41" s="841"/>
      <c r="C41" s="1743" t="s">
        <v>3203</v>
      </c>
      <c r="D41" s="1743"/>
      <c r="E41" s="1743"/>
      <c r="F41" s="1743"/>
      <c r="G41" s="1743"/>
      <c r="H41" s="1743"/>
      <c r="I41" s="1743"/>
      <c r="J41" s="1743"/>
      <c r="K41" s="1743"/>
      <c r="L41" s="1743"/>
      <c r="M41" s="1743"/>
      <c r="N41" s="1743"/>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3.95" customHeight="1" x14ac:dyDescent="0.3">
      <c r="B42" s="841"/>
      <c r="C42" s="1700" t="s">
        <v>3239</v>
      </c>
      <c r="D42" s="1700"/>
      <c r="E42" s="1700"/>
      <c r="F42" s="1700"/>
      <c r="G42" s="1700"/>
      <c r="H42" s="1700"/>
      <c r="I42" s="1700"/>
      <c r="J42" s="1700"/>
      <c r="K42" s="1700"/>
      <c r="L42" s="1700"/>
      <c r="M42" s="1700"/>
      <c r="N42" s="1700"/>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3.95" customHeight="1" x14ac:dyDescent="0.3">
      <c r="B43" s="841"/>
      <c r="C43" s="1706" t="s">
        <v>3240</v>
      </c>
      <c r="D43" s="1706"/>
      <c r="E43" s="1706"/>
      <c r="F43" s="1706"/>
      <c r="G43" s="1706"/>
      <c r="H43" s="1706"/>
      <c r="I43" s="1706"/>
      <c r="J43" s="1706"/>
      <c r="K43" s="1706"/>
      <c r="L43" s="1706"/>
      <c r="M43" s="1706"/>
      <c r="N43" s="1706"/>
      <c r="O43" s="842"/>
      <c r="P43" s="842"/>
      <c r="Q43" s="842"/>
      <c r="R43" s="842"/>
      <c r="S43" s="842"/>
      <c r="T43" s="841"/>
      <c r="U43" s="841"/>
      <c r="V43" s="841"/>
      <c r="W43" s="841"/>
      <c r="X43" s="841"/>
      <c r="Y43" s="1663" t="str">
        <f>IF(COUNTIFS(Y48:Y147,"&gt;40")&gt;0,"You have one or more resource staffed over 40 hours a week. If this was intentional, please ignore this message. If this was in error, please check your scheduled weekly hours.","")</f>
        <v/>
      </c>
      <c r="Z43" s="1663"/>
      <c r="AA43" s="1663"/>
      <c r="AB43" s="1663"/>
      <c r="AC43" s="841"/>
      <c r="AD43" s="841"/>
      <c r="AE43" s="841"/>
      <c r="AF43" s="518"/>
      <c r="AG43" s="843"/>
      <c r="AH43" s="844"/>
      <c r="AI43" s="844"/>
      <c r="AJ43" s="843"/>
      <c r="AK43" s="843"/>
      <c r="AL43" s="843"/>
      <c r="AM43" s="843"/>
      <c r="CM43" s="838"/>
    </row>
    <row r="44" spans="1:97" s="624" customFormat="1" ht="13.95" customHeight="1" x14ac:dyDescent="0.3">
      <c r="B44" s="841"/>
      <c r="C44" s="1707" t="s">
        <v>3241</v>
      </c>
      <c r="D44" s="1707"/>
      <c r="E44" s="1707"/>
      <c r="F44" s="1707"/>
      <c r="G44" s="1707"/>
      <c r="H44" s="1707"/>
      <c r="I44" s="1707"/>
      <c r="J44" s="1707"/>
      <c r="K44" s="1707"/>
      <c r="L44" s="1707"/>
      <c r="M44" s="1707"/>
      <c r="N44" s="1707"/>
      <c r="O44" s="842"/>
      <c r="P44" s="842"/>
      <c r="Q44" s="842"/>
      <c r="R44" s="842"/>
      <c r="S44" s="842"/>
      <c r="T44" s="841"/>
      <c r="U44" s="841"/>
      <c r="V44" s="841"/>
      <c r="W44" s="841"/>
      <c r="X44" s="841"/>
      <c r="Y44" s="1663"/>
      <c r="Z44" s="1663"/>
      <c r="AA44" s="1663"/>
      <c r="AB44" s="1663"/>
      <c r="AC44" s="841"/>
      <c r="AD44" s="841"/>
      <c r="AE44" s="841"/>
      <c r="AF44" s="518"/>
      <c r="AG44" s="843"/>
      <c r="AH44" s="844"/>
      <c r="AI44" s="844"/>
      <c r="AJ44" s="843"/>
      <c r="AK44" s="843"/>
      <c r="AL44" s="843"/>
      <c r="AM44" s="843"/>
      <c r="CM44" s="838"/>
    </row>
    <row r="45" spans="1:97" x14ac:dyDescent="0.25">
      <c r="Y45" s="1663"/>
      <c r="Z45" s="1663"/>
      <c r="AA45" s="1663"/>
      <c r="AB45" s="1663"/>
    </row>
    <row r="46" spans="1:97" s="624" customFormat="1" ht="13.95" customHeight="1" x14ac:dyDescent="0.3">
      <c r="B46" s="841"/>
      <c r="C46" s="1729"/>
      <c r="D46" s="1729"/>
      <c r="E46" s="1729"/>
      <c r="F46" s="1729"/>
      <c r="G46" s="1729"/>
      <c r="H46" s="1729"/>
      <c r="I46" s="1729"/>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6.95" customHeight="1" x14ac:dyDescent="0.3">
      <c r="B47" s="1278"/>
      <c r="C47" s="1279" t="s">
        <v>1159</v>
      </c>
      <c r="D47" s="1279" t="s">
        <v>2257</v>
      </c>
      <c r="E47" s="1280"/>
      <c r="F47" s="1279" t="s">
        <v>2351</v>
      </c>
      <c r="G47" s="1280"/>
      <c r="H47" s="1280" t="s">
        <v>3420</v>
      </c>
      <c r="I47" s="1279" t="s">
        <v>3208</v>
      </c>
      <c r="J47" s="1280" t="s">
        <v>2368</v>
      </c>
      <c r="K47" s="1678" t="s">
        <v>237</v>
      </c>
      <c r="L47" s="1678"/>
      <c r="M47" s="1678"/>
      <c r="N47" s="1279" t="s">
        <v>2406</v>
      </c>
      <c r="O47" s="1678" t="s">
        <v>238</v>
      </c>
      <c r="P47" s="1678"/>
      <c r="Q47" s="1678"/>
      <c r="R47" s="1678"/>
      <c r="S47" s="1678"/>
      <c r="T47" s="1708" t="str">
        <f>IF('1. Project Inputs'!C25="Client Custom Rates","Custom Client Rate Card Title","Custom Client Rate Title Do Not Use")</f>
        <v>Custom Client Rate Title Do Not Use</v>
      </c>
      <c r="U47" s="1708"/>
      <c r="V47" s="1281" t="s">
        <v>2369</v>
      </c>
      <c r="W47" s="1281" t="s">
        <v>2314</v>
      </c>
      <c r="X47" s="1594" t="s">
        <v>2096</v>
      </c>
      <c r="Y47" s="1280" t="s">
        <v>2259</v>
      </c>
      <c r="Z47" s="1279" t="s">
        <v>2096</v>
      </c>
      <c r="AA47" s="1279" t="s">
        <v>2258</v>
      </c>
      <c r="AB47" s="1279" t="s">
        <v>64</v>
      </c>
      <c r="AC47" s="1678" t="s">
        <v>104</v>
      </c>
      <c r="AD47" s="1679"/>
      <c r="AE47" s="1282" t="s">
        <v>105</v>
      </c>
      <c r="AF47" s="1279" t="s">
        <v>106</v>
      </c>
      <c r="AH47" s="1727"/>
      <c r="AI47" s="1727"/>
      <c r="AJ47" s="1283"/>
      <c r="AK47" s="1283"/>
      <c r="AL47" s="1283"/>
      <c r="AM47" s="1283"/>
      <c r="CM47" s="1284"/>
    </row>
    <row r="48" spans="1:97" ht="14.55" customHeight="1" x14ac:dyDescent="0.25">
      <c r="C48" s="1182" t="s">
        <v>430</v>
      </c>
      <c r="D48" s="1183" t="s">
        <v>255</v>
      </c>
      <c r="E48" s="1183" t="str">
        <f>IFERROR(_xlfn.XLOOKUP(D48,TADIndia,'Rates &amp; Drop Downs INT'!$CH$6:$CH$747),"")</f>
        <v>Acquia</v>
      </c>
      <c r="F48" s="1183" t="s">
        <v>1218</v>
      </c>
      <c r="G48" s="1187" t="str">
        <f>IFERROR(_xlfn.XLOOKUP(F48,'Rates &amp; Drop Downs INT'!$CI$6:$CI$747,'Rates &amp; Drop Downs INT'!$CJ$6:$CJ$747),"")</f>
        <v>Acquia_CDP</v>
      </c>
      <c r="H48" s="1187" t="str">
        <f>_xlfn.XLOOKUP(F48,'Rates &amp; Drop Downs INT'!$DF$6:$DF$173,'Rates &amp; Drop Downs INT'!$DG$6:$DG$173,"")</f>
        <v>ACQUIACDPSP</v>
      </c>
      <c r="I48" s="1183" t="s">
        <v>1798</v>
      </c>
      <c r="J48" s="1184" t="str">
        <f>C48</f>
        <v>TADNorthAmerica</v>
      </c>
      <c r="K48" s="1687" t="s">
        <v>367</v>
      </c>
      <c r="L48" s="1688"/>
      <c r="M48" s="1689"/>
      <c r="N48" s="1190" cm="1">
        <f t="array" ref="N48">IF($E$20="Credera US",V48,SUMPRODUCT(('Rates &amp; Drop Downs INT'!$CG$6:$CG$747=$D48)*('Rates &amp; Drop Downs INT'!$CI$6:$CI$747=$F48)*('Rates &amp; Drop Downs INT'!$CK$6:$CK$747=$K48)*('Rates &amp; Drop Downs INT'!$CM$6:$CM$747)))</f>
        <v>2</v>
      </c>
      <c r="O48" s="1701"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01"/>
      <c r="Q48" s="1701"/>
      <c r="R48" s="1701"/>
      <c r="S48" s="1701"/>
      <c r="T48" s="1709"/>
      <c r="U48" s="1709"/>
      <c r="V48" s="1221">
        <f>IFERROR(IF(ISBLANK(K48)," ",_xlfn.XLOOKUP(K48,'Rates &amp; Drop Downs INT'!C:C,'Rates &amp; Drop Downs INT'!J:J)),N48)</f>
        <v>2</v>
      </c>
      <c r="W48" s="1202" t="str">
        <f>IF(ISBLANK($K48)," ",IF(OR($C48="Credera US",$C48="TADNorthAmerica"),"Onshore","Offshore"))</f>
        <v>Onshore</v>
      </c>
      <c r="X48" s="1202"/>
      <c r="Y48" s="890">
        <v>40</v>
      </c>
      <c r="Z48" s="1183" t="s">
        <v>295</v>
      </c>
      <c r="AA48" s="1185"/>
      <c r="AB48" s="1273"/>
      <c r="AC48" s="1680" t="s">
        <v>78</v>
      </c>
      <c r="AD48" s="1681"/>
      <c r="AE48" s="1596" t="s">
        <v>275</v>
      </c>
      <c r="AF48" s="891" t="s">
        <v>78</v>
      </c>
      <c r="AH48" s="1725"/>
      <c r="AI48" s="1725"/>
      <c r="CM48" s="425"/>
    </row>
    <row r="49" spans="3:91" ht="16.05" customHeight="1" x14ac:dyDescent="0.25">
      <c r="C49" s="1186" t="s">
        <v>269</v>
      </c>
      <c r="D49" s="1187" t="s">
        <v>255</v>
      </c>
      <c r="E49" s="1187" t="str">
        <f>IFERROR(_xlfn.XLOOKUP(D49,TADIndia,'Rates &amp; Drop Downs INT'!$CH$6:$CH$747),"")</f>
        <v>Acquia</v>
      </c>
      <c r="F49" s="1187" t="s">
        <v>1218</v>
      </c>
      <c r="G49" s="1187" t="str">
        <f>IFERROR(_xlfn.XLOOKUP(F49,'Rates &amp; Drop Downs INT'!$CI$6:$CI$747,'Rates &amp; Drop Downs INT'!$CJ$6:$CJ$747),"")</f>
        <v>Acquia_CDP</v>
      </c>
      <c r="H49" s="1187" t="str">
        <f>_xlfn.XLOOKUP(F49,'Rates &amp; Drop Downs INT'!$DF$6:$DF$173,'Rates &amp; Drop Downs INT'!$DG$6:$DG$173,"")</f>
        <v>ACQUIACDPSP</v>
      </c>
      <c r="I49" s="1187" t="s">
        <v>1798</v>
      </c>
      <c r="J49" s="1188" t="str">
        <f>C49</f>
        <v>TADIndia</v>
      </c>
      <c r="K49" s="1687" t="s">
        <v>367</v>
      </c>
      <c r="L49" s="1688"/>
      <c r="M49" s="1689"/>
      <c r="N49" s="1190" cm="1">
        <f t="array" ref="N49">IF($E$20="Credera US",V49,SUMPRODUCT(('Rates &amp; Drop Downs INT'!$CG$6:$CG$747=$D49)*('Rates &amp; Drop Downs INT'!$CI$6:$CI$747=$F49)*('Rates &amp; Drop Downs INT'!$CK$6:$CK$747=$K49)*('Rates &amp; Drop Downs INT'!$CM$6:$CM$747)))</f>
        <v>2</v>
      </c>
      <c r="O49" s="1694"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95"/>
      <c r="Q49" s="1695"/>
      <c r="R49" s="1695"/>
      <c r="S49" s="1696"/>
      <c r="T49" s="1697"/>
      <c r="U49" s="1698"/>
      <c r="V49" s="1222">
        <f>IFERROR(IF(ISBLANK(K49)," ",_xlfn.XLOOKUP(K49,'Rates &amp; Drop Downs INT'!C:C,'Rates &amp; Drop Downs INT'!J:J)),N49)</f>
        <v>2</v>
      </c>
      <c r="W49" s="1203" t="str">
        <f t="shared" ref="W49:W112" si="0">IF(ISBLANK($K49)," ",IF(OR($C49="Credera US",$C49="TADNorthAmerica"),"Onshore","Offshore"))</f>
        <v>Offshore</v>
      </c>
      <c r="X49" s="1203"/>
      <c r="Y49" s="880">
        <v>40</v>
      </c>
      <c r="Z49" s="1187"/>
      <c r="AA49" s="1190"/>
      <c r="AB49" s="1274"/>
      <c r="AC49" s="1666" t="s">
        <v>78</v>
      </c>
      <c r="AD49" s="1667"/>
      <c r="AE49" s="881" t="s">
        <v>78</v>
      </c>
      <c r="AF49" s="892" t="s">
        <v>78</v>
      </c>
      <c r="AH49" s="1725"/>
      <c r="AI49" s="1725"/>
      <c r="CM49" s="425"/>
    </row>
    <row r="50" spans="3:91" ht="16.05" customHeight="1" x14ac:dyDescent="0.25">
      <c r="C50" s="1186" t="s">
        <v>430</v>
      </c>
      <c r="D50" s="1187" t="s">
        <v>325</v>
      </c>
      <c r="E50" s="1187" t="str">
        <f>IFERROR(_xlfn.XLOOKUP(D50,TADIndia,'Rates &amp; Drop Downs INT'!$CH$6:$CH$747),"")</f>
        <v>Experience_Design</v>
      </c>
      <c r="F50" s="1187" t="s">
        <v>1174</v>
      </c>
      <c r="G50" s="1187" t="str">
        <f>IFERROR(_xlfn.XLOOKUP(F50,'Rates &amp; Drop Downs INT'!$CI$6:$CI$747,'Rates &amp; Drop Downs INT'!$CJ$6:$CJ$747),"")</f>
        <v>Design</v>
      </c>
      <c r="H50" s="1187" t="str">
        <f>_xlfn.XLOOKUP(F50,'Rates &amp; Drop Downs INT'!$DF$6:$DF$173,'Rates &amp; Drop Downs INT'!$DG$6:$DG$173,"")</f>
        <v>DESIGNDESIGNSP</v>
      </c>
      <c r="I50" s="1187"/>
      <c r="J50" s="1188" t="str">
        <f>C50</f>
        <v>TADNorthAmerica</v>
      </c>
      <c r="K50" s="1687" t="s">
        <v>749</v>
      </c>
      <c r="L50" s="1688"/>
      <c r="M50" s="1689"/>
      <c r="N50" s="1190" cm="1">
        <f t="array" ref="N50">IF($E$20="Credera US",V50,SUMPRODUCT(('Rates &amp; Drop Downs INT'!$CG$6:$CG$747=$D50)*('Rates &amp; Drop Downs INT'!$CI$6:$CI$747=$F50)*('Rates &amp; Drop Downs INT'!$CK$6:$CK$747=$K50)*('Rates &amp; Drop Downs INT'!$CM$6:$CM$747)))</f>
        <v>2</v>
      </c>
      <c r="O50" s="1694"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95"/>
      <c r="Q50" s="1695"/>
      <c r="R50" s="1695"/>
      <c r="S50" s="1696"/>
      <c r="T50" s="1697"/>
      <c r="U50" s="1698"/>
      <c r="V50" s="1222">
        <f>IFERROR(IF(ISBLANK(K50)," ",_xlfn.XLOOKUP(K50,'Rates &amp; Drop Downs INT'!C:C,'Rates &amp; Drop Downs INT'!J:J)),N50)</f>
        <v>2</v>
      </c>
      <c r="W50" s="1203" t="str">
        <f t="shared" si="0"/>
        <v>Onshore</v>
      </c>
      <c r="X50" s="1203"/>
      <c r="Y50" s="880">
        <v>40</v>
      </c>
      <c r="Z50" s="1187"/>
      <c r="AA50" s="1190"/>
      <c r="AB50" s="1274"/>
      <c r="AC50" s="1666" t="s">
        <v>78</v>
      </c>
      <c r="AD50" s="1667"/>
      <c r="AE50" s="881" t="s">
        <v>78</v>
      </c>
      <c r="AF50" s="892"/>
      <c r="AH50" s="1725"/>
      <c r="AI50" s="1725"/>
      <c r="CM50" s="425"/>
    </row>
    <row r="51" spans="3:91" ht="16.05" customHeight="1" x14ac:dyDescent="0.25">
      <c r="C51" s="1186" t="s">
        <v>269</v>
      </c>
      <c r="D51" s="1187" t="s">
        <v>325</v>
      </c>
      <c r="E51" s="1187" t="str">
        <f>IFERROR(_xlfn.XLOOKUP(D51,TADIndia,'Rates &amp; Drop Downs INT'!$CH$6:$CH$747),"")</f>
        <v>Experience_Design</v>
      </c>
      <c r="F51" s="1187" t="s">
        <v>1174</v>
      </c>
      <c r="G51" s="1187" t="str">
        <f>IFERROR(_xlfn.XLOOKUP(F51,'Rates &amp; Drop Downs INT'!$CI$6:$CI$747,'Rates &amp; Drop Downs INT'!$CJ$6:$CJ$747),"")</f>
        <v>Design</v>
      </c>
      <c r="H51" s="1187" t="str">
        <f>_xlfn.XLOOKUP(F51,'Rates &amp; Drop Downs INT'!$DF$6:$DF$173,'Rates &amp; Drop Downs INT'!$DG$6:$DG$173,"")</f>
        <v>DESIGNDESIGNSP</v>
      </c>
      <c r="I51" s="1187"/>
      <c r="J51" s="1188" t="str">
        <f t="shared" ref="J51:J112" si="1">C51</f>
        <v>TADIndia</v>
      </c>
      <c r="K51" s="1687" t="s">
        <v>749</v>
      </c>
      <c r="L51" s="1688"/>
      <c r="M51" s="1689"/>
      <c r="N51" s="1190" cm="1">
        <f t="array" ref="N51">IF($E$20="Credera US",V51,SUMPRODUCT(('Rates &amp; Drop Downs INT'!$CG$6:$CG$747=$D51)*('Rates &amp; Drop Downs INT'!$CI$6:$CI$747=$F51)*('Rates &amp; Drop Downs INT'!$CK$6:$CK$747=$K51)*('Rates &amp; Drop Downs INT'!$CM$6:$CM$747)))</f>
        <v>2</v>
      </c>
      <c r="O51" s="1694"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95"/>
      <c r="Q51" s="1695"/>
      <c r="R51" s="1695"/>
      <c r="S51" s="1696"/>
      <c r="T51" s="1697"/>
      <c r="U51" s="1698"/>
      <c r="V51" s="1222">
        <f>IFERROR(IF(ISBLANK(K51)," ",_xlfn.XLOOKUP(K51,'Rates &amp; Drop Downs INT'!C:C,'Rates &amp; Drop Downs INT'!J:J)),N51)</f>
        <v>2</v>
      </c>
      <c r="W51" s="1203" t="str">
        <f t="shared" si="0"/>
        <v>Offshore</v>
      </c>
      <c r="X51" s="1203"/>
      <c r="Y51" s="880">
        <v>40</v>
      </c>
      <c r="Z51" s="1187"/>
      <c r="AA51" s="1190"/>
      <c r="AB51" s="1274"/>
      <c r="AC51" s="1666" t="s">
        <v>78</v>
      </c>
      <c r="AD51" s="1667"/>
      <c r="AE51" s="881"/>
      <c r="AF51" s="892" t="s">
        <v>78</v>
      </c>
      <c r="AH51" s="1725"/>
      <c r="AI51" s="1725"/>
      <c r="CM51" s="425"/>
    </row>
    <row r="52" spans="3:91" ht="16.05" customHeight="1" x14ac:dyDescent="0.25">
      <c r="C52" s="1186" t="s">
        <v>430</v>
      </c>
      <c r="D52" s="1187" t="s">
        <v>262</v>
      </c>
      <c r="E52" s="1187" t="str">
        <f>IFERROR(_xlfn.XLOOKUP(D52,TADIndia,'Rates &amp; Drop Downs INT'!$CH$6:$CH$747),"")</f>
        <v>Adobe</v>
      </c>
      <c r="F52" s="1187" t="s">
        <v>1209</v>
      </c>
      <c r="G52" s="1187" t="str">
        <f>IFERROR(_xlfn.XLOOKUP(F52,'Rates &amp; Drop Downs INT'!$CI$6:$CI$747,'Rates &amp; Drop Downs INT'!$CJ$6:$CJ$747),"")</f>
        <v>Adobe_UI</v>
      </c>
      <c r="H52" s="1187" t="str">
        <f>_xlfn.XLOOKUP(F52,'Rates &amp; Drop Downs INT'!$DF$6:$DF$173,'Rates &amp; Drop Downs INT'!$DG$6:$DG$173,"")</f>
        <v>ADOBEUISP</v>
      </c>
      <c r="I52" s="1187"/>
      <c r="J52" s="1188" t="str">
        <f t="shared" si="1"/>
        <v>TADNorthAmerica</v>
      </c>
      <c r="K52" s="1687" t="s">
        <v>536</v>
      </c>
      <c r="L52" s="1688"/>
      <c r="M52" s="1689"/>
      <c r="N52" s="1190" cm="1">
        <f t="array" ref="N52">IF($E$20="Credera US",V52,SUMPRODUCT(('Rates &amp; Drop Downs INT'!$CG$6:$CG$747=$D52)*('Rates &amp; Drop Downs INT'!$CI$6:$CI$747=$F52)*('Rates &amp; Drop Downs INT'!$CK$6:$CK$747=$K52)*('Rates &amp; Drop Downs INT'!$CM$6:$CM$747)))</f>
        <v>3</v>
      </c>
      <c r="O52" s="1694"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95"/>
      <c r="Q52" s="1695"/>
      <c r="R52" s="1695"/>
      <c r="S52" s="1696"/>
      <c r="T52" s="1697"/>
      <c r="U52" s="1698"/>
      <c r="V52" s="1222">
        <f>IFERROR(IF(ISBLANK(K52)," ",_xlfn.XLOOKUP(K52,'Rates &amp; Drop Downs INT'!C:C,'Rates &amp; Drop Downs INT'!J:J)),N52)</f>
        <v>0</v>
      </c>
      <c r="W52" s="1203" t="str">
        <f t="shared" si="0"/>
        <v>Onshore</v>
      </c>
      <c r="X52" s="1203"/>
      <c r="Y52" s="880">
        <v>40</v>
      </c>
      <c r="Z52" s="1187"/>
      <c r="AA52" s="1190"/>
      <c r="AB52" s="1274"/>
      <c r="AC52" s="1666" t="s">
        <v>78</v>
      </c>
      <c r="AD52" s="1667"/>
      <c r="AE52" s="881"/>
      <c r="AF52" s="892"/>
      <c r="AH52" s="1725"/>
      <c r="AI52" s="1725"/>
      <c r="CM52" s="425"/>
    </row>
    <row r="53" spans="3:91" ht="16.05" customHeight="1" x14ac:dyDescent="0.25">
      <c r="C53" s="1186" t="s">
        <v>269</v>
      </c>
      <c r="D53" s="1187" t="s">
        <v>288</v>
      </c>
      <c r="E53" s="1187" t="str">
        <f>IFERROR(_xlfn.XLOOKUP(D53,TADIndia,'Rates &amp; Drop Downs INT'!$CH$6:$CH$747),"")</f>
        <v>MACH</v>
      </c>
      <c r="F53" s="1187" t="s">
        <v>1225</v>
      </c>
      <c r="G53" s="1187" t="str">
        <f>IFERROR(_xlfn.XLOOKUP(F53,'Rates &amp; Drop Downs INT'!$CI$6:$CI$747,'Rates &amp; Drop Downs INT'!$CJ$6:$CJ$747),"")</f>
        <v>MACH_DevOps</v>
      </c>
      <c r="H53" s="1187" t="str">
        <f>_xlfn.XLOOKUP(F53,'Rates &amp; Drop Downs INT'!$DF$6:$DF$173,'Rates &amp; Drop Downs INT'!$DG$6:$DG$173,"")</f>
        <v>MACHDEVOPSSP</v>
      </c>
      <c r="I53" s="1187"/>
      <c r="J53" s="1188" t="str">
        <f t="shared" si="1"/>
        <v>TADIndia</v>
      </c>
      <c r="K53" s="1687" t="s">
        <v>3363</v>
      </c>
      <c r="L53" s="1688"/>
      <c r="M53" s="1689"/>
      <c r="N53" s="1190" cm="1">
        <f t="array" ref="N53">IF($E$20="Credera US",V53,SUMPRODUCT(('Rates &amp; Drop Downs INT'!$CG$6:$CG$747=$D53)*('Rates &amp; Drop Downs INT'!$CI$6:$CI$747=$F53)*('Rates &amp; Drop Downs INT'!$CK$6:$CK$747=$K53)*('Rates &amp; Drop Downs INT'!$CM$6:$CM$747)))</f>
        <v>2</v>
      </c>
      <c r="O53" s="1694"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95"/>
      <c r="Q53" s="1695"/>
      <c r="R53" s="1695"/>
      <c r="S53" s="1696"/>
      <c r="T53" s="1697"/>
      <c r="U53" s="1698"/>
      <c r="V53" s="1222">
        <f>IFERROR(IF(ISBLANK(K53)," ",_xlfn.XLOOKUP(K53,'Rates &amp; Drop Downs INT'!C:C,'Rates &amp; Drop Downs INT'!J:J)),N53)</f>
        <v>2</v>
      </c>
      <c r="W53" s="1203" t="str">
        <f t="shared" si="0"/>
        <v>Offshore</v>
      </c>
      <c r="X53" s="1203"/>
      <c r="Y53" s="880">
        <v>32</v>
      </c>
      <c r="Z53" s="1187"/>
      <c r="AA53" s="1190"/>
      <c r="AB53" s="1274"/>
      <c r="AC53" s="1666"/>
      <c r="AD53" s="1667"/>
      <c r="AE53" s="881"/>
      <c r="AF53" s="892"/>
      <c r="AH53" s="1725"/>
      <c r="AI53" s="1725"/>
      <c r="CM53" s="425"/>
    </row>
    <row r="54" spans="3:91" ht="16.05" customHeight="1" x14ac:dyDescent="0.25">
      <c r="C54" s="1186" t="s">
        <v>269</v>
      </c>
      <c r="D54" s="1187" t="s">
        <v>262</v>
      </c>
      <c r="E54" s="1187" t="str">
        <f>IFERROR(_xlfn.XLOOKUP(D54,TADIndia,'Rates &amp; Drop Downs INT'!$CH$6:$CH$747),"")</f>
        <v>Adobe</v>
      </c>
      <c r="F54" s="1187" t="s">
        <v>1209</v>
      </c>
      <c r="G54" s="1187" t="str">
        <f>IFERROR(_xlfn.XLOOKUP(F54,'Rates &amp; Drop Downs INT'!$CI$6:$CI$747,'Rates &amp; Drop Downs INT'!$CJ$6:$CJ$747),"")</f>
        <v>Adobe_UI</v>
      </c>
      <c r="H54" s="1187" t="str">
        <f>_xlfn.XLOOKUP(F54,'Rates &amp; Drop Downs INT'!$DF$6:$DF$173,'Rates &amp; Drop Downs INT'!$DG$6:$DG$173,"")</f>
        <v>ADOBEUISP</v>
      </c>
      <c r="I54" s="1187"/>
      <c r="J54" s="1188"/>
      <c r="K54" s="1687" t="s">
        <v>534</v>
      </c>
      <c r="L54" s="1688"/>
      <c r="M54" s="1689"/>
      <c r="N54" s="1190" cm="1">
        <f t="array" ref="N54">IF($E$20="Credera US",V54,SUMPRODUCT(('Rates &amp; Drop Downs INT'!$CG$6:$CG$747=$D54)*('Rates &amp; Drop Downs INT'!$CI$6:$CI$747=$F54)*('Rates &amp; Drop Downs INT'!$CK$6:$CK$747=$K54)*('Rates &amp; Drop Downs INT'!$CM$6:$CM$747)))</f>
        <v>2</v>
      </c>
      <c r="O54" s="1694"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95"/>
      <c r="Q54" s="1695"/>
      <c r="R54" s="1695"/>
      <c r="S54" s="1696"/>
      <c r="T54" s="1697"/>
      <c r="U54" s="1698"/>
      <c r="V54" s="1222">
        <f>IFERROR(IF(ISBLANK(K54)," ",_xlfn.XLOOKUP(K54,'Rates &amp; Drop Downs INT'!C:C,'Rates &amp; Drop Downs INT'!J:J)),N54)</f>
        <v>0</v>
      </c>
      <c r="W54" s="1203" t="str">
        <f t="shared" si="0"/>
        <v>Offshore</v>
      </c>
      <c r="X54" s="1203"/>
      <c r="Y54" s="880">
        <v>40</v>
      </c>
      <c r="Z54" s="1187"/>
      <c r="AA54" s="1190"/>
      <c r="AB54" s="1274"/>
      <c r="AC54" s="1666"/>
      <c r="AD54" s="1667"/>
      <c r="AE54" s="881"/>
      <c r="AF54" s="892"/>
      <c r="AH54" s="1725"/>
      <c r="AI54" s="1725"/>
      <c r="CM54" s="425"/>
    </row>
    <row r="55" spans="3:91" ht="16.05" customHeight="1" x14ac:dyDescent="0.25">
      <c r="C55" s="1186" t="s">
        <v>269</v>
      </c>
      <c r="D55" s="1187" t="s">
        <v>336</v>
      </c>
      <c r="E55" s="1187" t="str">
        <f>IFERROR(_xlfn.XLOOKUP(D55,TADIndia,'Rates &amp; Drop Downs INT'!$CH$6:$CH$747),"")</f>
        <v>Delivery</v>
      </c>
      <c r="F55" s="1187" t="s">
        <v>336</v>
      </c>
      <c r="G55" s="1187" t="str">
        <f>IFERROR(_xlfn.XLOOKUP(F55,'Rates &amp; Drop Downs INT'!$CI$6:$CI$747,'Rates &amp; Drop Downs INT'!$CJ$6:$CJ$747),"")</f>
        <v>Delivery_Delivery</v>
      </c>
      <c r="H55" s="1187" t="str">
        <f>_xlfn.XLOOKUP(F55,'Rates &amp; Drop Downs INT'!$DF$6:$DF$173,'Rates &amp; Drop Downs INT'!$DG$6:$DG$173,"")</f>
        <v>DELIVERYDELIVERYSP</v>
      </c>
      <c r="I55" s="1187"/>
      <c r="J55" s="1188" t="str">
        <f t="shared" si="1"/>
        <v>TADIndia</v>
      </c>
      <c r="K55" s="1687" t="s">
        <v>444</v>
      </c>
      <c r="L55" s="1688"/>
      <c r="M55" s="1689"/>
      <c r="N55" s="1190" cm="1">
        <f t="array" ref="N55">IF($E$20="Credera US",V55,SUMPRODUCT(('Rates &amp; Drop Downs INT'!$CG$6:$CG$747=$D55)*('Rates &amp; Drop Downs INT'!$CI$6:$CI$747=$F55)*('Rates &amp; Drop Downs INT'!$CK$6:$CK$747=$K55)*('Rates &amp; Drop Downs INT'!$CM$6:$CM$747)))</f>
        <v>5</v>
      </c>
      <c r="O55" s="1694"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95"/>
      <c r="Q55" s="1695"/>
      <c r="R55" s="1695"/>
      <c r="S55" s="1696"/>
      <c r="T55" s="1697"/>
      <c r="U55" s="1698"/>
      <c r="V55" s="1222">
        <f>IFERROR(IF(ISBLANK(K55)," ",_xlfn.XLOOKUP(K55,'Rates &amp; Drop Downs INT'!C:C,'Rates &amp; Drop Downs INT'!J:J)),N55)</f>
        <v>0</v>
      </c>
      <c r="W55" s="1203" t="str">
        <f t="shared" si="0"/>
        <v>Offshore</v>
      </c>
      <c r="X55" s="1203"/>
      <c r="Y55" s="880">
        <v>20</v>
      </c>
      <c r="Z55" s="1187"/>
      <c r="AA55" s="1190"/>
      <c r="AB55" s="1274"/>
      <c r="AC55" s="1666"/>
      <c r="AD55" s="1667"/>
      <c r="AE55" s="881"/>
      <c r="AF55" s="892"/>
      <c r="AH55" s="1725"/>
      <c r="AI55" s="1725"/>
      <c r="CM55" s="425"/>
    </row>
    <row r="56" spans="3:91" ht="16.05" customHeight="1" x14ac:dyDescent="0.25">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7"/>
      <c r="L56" s="1688"/>
      <c r="M56" s="1689"/>
      <c r="N56" s="1190" cm="1">
        <f t="array" ref="N56">IF($E$20="Credera US",V56,SUMPRODUCT(('Rates &amp; Drop Downs INT'!$CG$6:$CG$747=$D56)*('Rates &amp; Drop Downs INT'!$CI$6:$CI$747=$F56)*('Rates &amp; Drop Downs INT'!$CK$6:$CK$747=$K56)*('Rates &amp; Drop Downs INT'!$CM$6:$CM$747)))</f>
        <v>0</v>
      </c>
      <c r="O56" s="1694"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95"/>
      <c r="Q56" s="1695"/>
      <c r="R56" s="1695"/>
      <c r="S56" s="1696"/>
      <c r="T56" s="1697"/>
      <c r="U56" s="1698"/>
      <c r="V56" s="1222" t="str">
        <f>IFERROR(IF(ISBLANK(K56)," ",_xlfn.XLOOKUP(K56,'Rates &amp; Drop Downs INT'!C:C,'Rates &amp; Drop Downs INT'!J:J)),N56)</f>
        <v xml:space="preserve"> </v>
      </c>
      <c r="W56" s="1203" t="str">
        <f t="shared" si="0"/>
        <v xml:space="preserve"> </v>
      </c>
      <c r="X56" s="1203"/>
      <c r="Y56" s="880" t="s">
        <v>2271</v>
      </c>
      <c r="Z56" s="1187"/>
      <c r="AA56" s="1190"/>
      <c r="AB56" s="1274"/>
      <c r="AC56" s="1666"/>
      <c r="AD56" s="1667"/>
      <c r="AE56" s="881"/>
      <c r="AF56" s="892"/>
      <c r="AH56" s="1725"/>
      <c r="AI56" s="1725"/>
      <c r="CM56" s="425"/>
    </row>
    <row r="57" spans="3:91" ht="16.05" hidden="1" customHeight="1" x14ac:dyDescent="0.25">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7"/>
      <c r="L57" s="1688"/>
      <c r="M57" s="1689"/>
      <c r="N57" s="1190" cm="1">
        <f t="array" ref="N57">IF($E$20="Credera US",V57,SUMPRODUCT(('Rates &amp; Drop Downs INT'!$CG$6:$CG$747=$D57)*('Rates &amp; Drop Downs INT'!$CI$6:$CI$747=$F57)*('Rates &amp; Drop Downs INT'!$CK$6:$CK$747=$K57)*('Rates &amp; Drop Downs INT'!$CM$6:$CM$747)))</f>
        <v>0</v>
      </c>
      <c r="O57" s="1694"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95"/>
      <c r="Q57" s="1695"/>
      <c r="R57" s="1695"/>
      <c r="S57" s="1696"/>
      <c r="T57" s="1697"/>
      <c r="U57" s="1698"/>
      <c r="V57" s="1222" t="str">
        <f>IFERROR(IF(ISBLANK(K57)," ",_xlfn.XLOOKUP(K57,'Rates &amp; Drop Downs INT'!C:C,'Rates &amp; Drop Downs INT'!J:J)),N57)</f>
        <v xml:space="preserve"> </v>
      </c>
      <c r="W57" s="1203" t="str">
        <f t="shared" si="0"/>
        <v xml:space="preserve"> </v>
      </c>
      <c r="X57" s="1203"/>
      <c r="Y57" s="880" t="s">
        <v>2271</v>
      </c>
      <c r="Z57" s="1187"/>
      <c r="AA57" s="1190"/>
      <c r="AB57" s="1274"/>
      <c r="AC57" s="1666"/>
      <c r="AD57" s="1667"/>
      <c r="AE57" s="881"/>
      <c r="AF57" s="892"/>
      <c r="AH57" s="1725"/>
      <c r="AI57" s="1725"/>
      <c r="CM57" s="425"/>
    </row>
    <row r="58" spans="3:91" ht="16.05" hidden="1" customHeight="1" x14ac:dyDescent="0.25">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7"/>
      <c r="L58" s="1688"/>
      <c r="M58" s="1689"/>
      <c r="N58" s="1190" cm="1">
        <f t="array" ref="N58">IF($E$20="Credera US",V58,SUMPRODUCT(('Rates &amp; Drop Downs INT'!$CG$6:$CG$747=$D58)*('Rates &amp; Drop Downs INT'!$CI$6:$CI$747=$F58)*('Rates &amp; Drop Downs INT'!$CK$6:$CK$747=$K58)*('Rates &amp; Drop Downs INT'!$CM$6:$CM$747)))</f>
        <v>0</v>
      </c>
      <c r="O58" s="1694"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95"/>
      <c r="Q58" s="1695"/>
      <c r="R58" s="1695"/>
      <c r="S58" s="1696"/>
      <c r="T58" s="1697"/>
      <c r="U58" s="1698"/>
      <c r="V58" s="1222" t="str">
        <f>IFERROR(IF(ISBLANK(K58)," ",_xlfn.XLOOKUP(K58,'Rates &amp; Drop Downs INT'!C:C,'Rates &amp; Drop Downs INT'!J:J)),N58)</f>
        <v xml:space="preserve"> </v>
      </c>
      <c r="W58" s="1203" t="str">
        <f t="shared" si="0"/>
        <v xml:space="preserve"> </v>
      </c>
      <c r="X58" s="1203"/>
      <c r="Y58" s="880" t="s">
        <v>2271</v>
      </c>
      <c r="Z58" s="1187"/>
      <c r="AA58" s="1190"/>
      <c r="AB58" s="1274"/>
      <c r="AC58" s="1666"/>
      <c r="AD58" s="1667"/>
      <c r="AE58" s="881"/>
      <c r="AF58" s="892"/>
      <c r="AH58" s="1725"/>
      <c r="AI58" s="1725"/>
      <c r="CM58" s="425"/>
    </row>
    <row r="59" spans="3:91" ht="16.05" hidden="1" customHeight="1" x14ac:dyDescent="0.25">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7"/>
      <c r="L59" s="1688"/>
      <c r="M59" s="1689"/>
      <c r="N59" s="1190" cm="1">
        <f t="array" ref="N59">IF($E$20="Credera US",V59,SUMPRODUCT(('Rates &amp; Drop Downs INT'!$CG$6:$CG$747=$D59)*('Rates &amp; Drop Downs INT'!$CI$6:$CI$747=$F59)*('Rates &amp; Drop Downs INT'!$CK$6:$CK$747=$K59)*('Rates &amp; Drop Downs INT'!$CM$6:$CM$747)))</f>
        <v>0</v>
      </c>
      <c r="O59" s="1694"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95"/>
      <c r="Q59" s="1695"/>
      <c r="R59" s="1695"/>
      <c r="S59" s="1696"/>
      <c r="T59" s="1697"/>
      <c r="U59" s="1698"/>
      <c r="V59" s="1222" t="str">
        <f>IFERROR(IF(ISBLANK(K59)," ",_xlfn.XLOOKUP(K59,'Rates &amp; Drop Downs INT'!C:C,'Rates &amp; Drop Downs INT'!J:J)),N59)</f>
        <v xml:space="preserve"> </v>
      </c>
      <c r="W59" s="1203" t="str">
        <f t="shared" si="0"/>
        <v xml:space="preserve"> </v>
      </c>
      <c r="X59" s="1203"/>
      <c r="Y59" s="880" t="s">
        <v>2271</v>
      </c>
      <c r="Z59" s="1187"/>
      <c r="AA59" s="1190"/>
      <c r="AB59" s="1274"/>
      <c r="AC59" s="1666"/>
      <c r="AD59" s="1667"/>
      <c r="AE59" s="881"/>
      <c r="AF59" s="892"/>
      <c r="AH59" s="1725"/>
      <c r="AI59" s="1725"/>
      <c r="CM59" s="425"/>
    </row>
    <row r="60" spans="3:91" ht="16.05" hidden="1" customHeight="1" x14ac:dyDescent="0.25">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7"/>
      <c r="L60" s="1688"/>
      <c r="M60" s="1689"/>
      <c r="N60" s="1190" cm="1">
        <f t="array" ref="N60">IF($E$20="Credera US",V60,SUMPRODUCT(('Rates &amp; Drop Downs INT'!$CG$6:$CG$747=$D60)*('Rates &amp; Drop Downs INT'!$CI$6:$CI$747=$F60)*('Rates &amp; Drop Downs INT'!$CK$6:$CK$747=$K60)*('Rates &amp; Drop Downs INT'!$CM$6:$CM$747)))</f>
        <v>0</v>
      </c>
      <c r="O60" s="1694"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95"/>
      <c r="Q60" s="1695"/>
      <c r="R60" s="1695"/>
      <c r="S60" s="1696"/>
      <c r="T60" s="1697"/>
      <c r="U60" s="1698"/>
      <c r="V60" s="1222" t="str">
        <f>IFERROR(IF(ISBLANK(K60)," ",_xlfn.XLOOKUP(K60,'Rates &amp; Drop Downs INT'!C:C,'Rates &amp; Drop Downs INT'!J:J)),N60)</f>
        <v xml:space="preserve"> </v>
      </c>
      <c r="W60" s="1203" t="str">
        <f t="shared" si="0"/>
        <v xml:space="preserve"> </v>
      </c>
      <c r="X60" s="1203"/>
      <c r="Y60" s="880" t="s">
        <v>2271</v>
      </c>
      <c r="Z60" s="1187"/>
      <c r="AA60" s="1190"/>
      <c r="AB60" s="1274"/>
      <c r="AC60" s="1666"/>
      <c r="AD60" s="1667"/>
      <c r="AE60" s="881"/>
      <c r="AF60" s="892"/>
      <c r="AH60" s="1725"/>
      <c r="AI60" s="1725"/>
      <c r="CM60" s="425"/>
    </row>
    <row r="61" spans="3:91" ht="16.05" hidden="1" customHeight="1" x14ac:dyDescent="0.25">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7"/>
      <c r="L61" s="1688"/>
      <c r="M61" s="1689"/>
      <c r="N61" s="1190" cm="1">
        <f t="array" ref="N61">IF($E$20="Credera US",V61,SUMPRODUCT(('Rates &amp; Drop Downs INT'!$CG$6:$CG$747=$D61)*('Rates &amp; Drop Downs INT'!$CI$6:$CI$747=$F61)*('Rates &amp; Drop Downs INT'!$CK$6:$CK$747=$K61)*('Rates &amp; Drop Downs INT'!$CM$6:$CM$747)))</f>
        <v>0</v>
      </c>
      <c r="O61" s="1694"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95"/>
      <c r="Q61" s="1695"/>
      <c r="R61" s="1695"/>
      <c r="S61" s="1696"/>
      <c r="T61" s="1697"/>
      <c r="U61" s="1698"/>
      <c r="V61" s="1222" t="str">
        <f>IFERROR(IF(ISBLANK(K61)," ",_xlfn.XLOOKUP(K61,'Rates &amp; Drop Downs INT'!C:C,'Rates &amp; Drop Downs INT'!J:J)),N61)</f>
        <v xml:space="preserve"> </v>
      </c>
      <c r="W61" s="1203" t="str">
        <f t="shared" si="0"/>
        <v xml:space="preserve"> </v>
      </c>
      <c r="X61" s="1203"/>
      <c r="Y61" s="880" t="s">
        <v>2271</v>
      </c>
      <c r="Z61" s="1187"/>
      <c r="AA61" s="1190"/>
      <c r="AB61" s="1274"/>
      <c r="AC61" s="1666"/>
      <c r="AD61" s="1667"/>
      <c r="AE61" s="881"/>
      <c r="AF61" s="892"/>
      <c r="AH61" s="1725"/>
      <c r="AI61" s="1725"/>
      <c r="CM61" s="425"/>
    </row>
    <row r="62" spans="3:91" ht="16.05" hidden="1" customHeight="1" x14ac:dyDescent="0.25">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7"/>
      <c r="L62" s="1688"/>
      <c r="M62" s="1689"/>
      <c r="N62" s="1190" cm="1">
        <f t="array" ref="N62">IF($E$20="Credera US",V62,SUMPRODUCT(('Rates &amp; Drop Downs INT'!$CG$6:$CG$747=$D62)*('Rates &amp; Drop Downs INT'!$CI$6:$CI$747=$F62)*('Rates &amp; Drop Downs INT'!$CK$6:$CK$747=$K62)*('Rates &amp; Drop Downs INT'!$CM$6:$CM$747)))</f>
        <v>0</v>
      </c>
      <c r="O62" s="1694"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95"/>
      <c r="Q62" s="1695"/>
      <c r="R62" s="1695"/>
      <c r="S62" s="1696"/>
      <c r="T62" s="1697"/>
      <c r="U62" s="1698"/>
      <c r="V62" s="1222" t="str">
        <f>IFERROR(IF(ISBLANK(K62)," ",_xlfn.XLOOKUP(K62,'Rates &amp; Drop Downs INT'!C:C,'Rates &amp; Drop Downs INT'!J:J)),N62)</f>
        <v xml:space="preserve"> </v>
      </c>
      <c r="W62" s="1203" t="str">
        <f t="shared" si="0"/>
        <v xml:space="preserve"> </v>
      </c>
      <c r="X62" s="1203"/>
      <c r="Y62" s="880" t="s">
        <v>2271</v>
      </c>
      <c r="Z62" s="1187"/>
      <c r="AA62" s="1190"/>
      <c r="AB62" s="1274"/>
      <c r="AC62" s="1666"/>
      <c r="AD62" s="1667"/>
      <c r="AE62" s="881"/>
      <c r="AF62" s="892"/>
      <c r="AH62" s="1725"/>
      <c r="AI62" s="1725"/>
      <c r="CM62" s="425"/>
    </row>
    <row r="63" spans="3:91" ht="16.05" hidden="1" customHeight="1" x14ac:dyDescent="0.25">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7"/>
      <c r="L63" s="1688"/>
      <c r="M63" s="1689"/>
      <c r="N63" s="1190" cm="1">
        <f t="array" ref="N63">IF($E$20="Credera US",V63,SUMPRODUCT(('Rates &amp; Drop Downs INT'!$CG$6:$CG$747=$D63)*('Rates &amp; Drop Downs INT'!$CI$6:$CI$747=$F63)*('Rates &amp; Drop Downs INT'!$CK$6:$CK$747=$K63)*('Rates &amp; Drop Downs INT'!$CM$6:$CM$747)))</f>
        <v>0</v>
      </c>
      <c r="O63" s="1694"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95"/>
      <c r="Q63" s="1695"/>
      <c r="R63" s="1695"/>
      <c r="S63" s="1696"/>
      <c r="T63" s="1697"/>
      <c r="U63" s="1698"/>
      <c r="V63" s="1222" t="str">
        <f>IFERROR(IF(ISBLANK(K63)," ",_xlfn.XLOOKUP(K63,'Rates &amp; Drop Downs INT'!C:C,'Rates &amp; Drop Downs INT'!J:J)),N63)</f>
        <v xml:space="preserve"> </v>
      </c>
      <c r="W63" s="1203" t="str">
        <f t="shared" si="0"/>
        <v xml:space="preserve"> </v>
      </c>
      <c r="X63" s="1203"/>
      <c r="Y63" s="880" t="s">
        <v>2271</v>
      </c>
      <c r="Z63" s="1187"/>
      <c r="AA63" s="1190"/>
      <c r="AB63" s="1274"/>
      <c r="AC63" s="1666"/>
      <c r="AD63" s="1667"/>
      <c r="AE63" s="881"/>
      <c r="AF63" s="892"/>
      <c r="AH63" s="1725"/>
      <c r="AI63" s="1725"/>
      <c r="CM63" s="425"/>
    </row>
    <row r="64" spans="3:91" ht="16.05" hidden="1" customHeight="1" x14ac:dyDescent="0.25">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7"/>
      <c r="L64" s="1688"/>
      <c r="M64" s="1689"/>
      <c r="N64" s="1190" cm="1">
        <f t="array" ref="N64">IF($E$20="Credera US",V64,SUMPRODUCT(('Rates &amp; Drop Downs INT'!$CG$6:$CG$747=$D64)*('Rates &amp; Drop Downs INT'!$CI$6:$CI$747=$F64)*('Rates &amp; Drop Downs INT'!$CK$6:$CK$747=$K64)*('Rates &amp; Drop Downs INT'!$CM$6:$CM$747)))</f>
        <v>0</v>
      </c>
      <c r="O64" s="1694"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95"/>
      <c r="Q64" s="1695"/>
      <c r="R64" s="1695"/>
      <c r="S64" s="1696"/>
      <c r="T64" s="1697"/>
      <c r="U64" s="1698"/>
      <c r="V64" s="1222" t="str">
        <f>IFERROR(IF(ISBLANK(K64)," ",_xlfn.XLOOKUP(K64,'Rates &amp; Drop Downs INT'!C:C,'Rates &amp; Drop Downs INT'!J:J)),N64)</f>
        <v xml:space="preserve"> </v>
      </c>
      <c r="W64" s="1203" t="str">
        <f t="shared" si="0"/>
        <v xml:space="preserve"> </v>
      </c>
      <c r="X64" s="1203"/>
      <c r="Y64" s="880" t="s">
        <v>2271</v>
      </c>
      <c r="Z64" s="1187"/>
      <c r="AA64" s="1190"/>
      <c r="AB64" s="1274"/>
      <c r="AC64" s="1666"/>
      <c r="AD64" s="1667"/>
      <c r="AE64" s="881"/>
      <c r="AF64" s="892"/>
      <c r="AH64" s="1725"/>
      <c r="AI64" s="1725"/>
      <c r="CM64" s="425"/>
    </row>
    <row r="65" spans="3:91" ht="16.05" hidden="1" customHeight="1" x14ac:dyDescent="0.25">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7"/>
      <c r="L65" s="1688"/>
      <c r="M65" s="1689"/>
      <c r="N65" s="1190" cm="1">
        <f t="array" ref="N65">IF($E$20="Credera US",V65,SUMPRODUCT(('Rates &amp; Drop Downs INT'!$CG$6:$CG$747=$D65)*('Rates &amp; Drop Downs INT'!$CI$6:$CI$747=$F65)*('Rates &amp; Drop Downs INT'!$CK$6:$CK$747=$K65)*('Rates &amp; Drop Downs INT'!$CM$6:$CM$747)))</f>
        <v>0</v>
      </c>
      <c r="O65" s="1694"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95"/>
      <c r="Q65" s="1695"/>
      <c r="R65" s="1695"/>
      <c r="S65" s="1696"/>
      <c r="T65" s="1697"/>
      <c r="U65" s="1698"/>
      <c r="V65" s="1222" t="str">
        <f>IFERROR(IF(ISBLANK(K65)," ",_xlfn.XLOOKUP(K65,'Rates &amp; Drop Downs INT'!C:C,'Rates &amp; Drop Downs INT'!J:J)),N65)</f>
        <v xml:space="preserve"> </v>
      </c>
      <c r="W65" s="1203" t="str">
        <f t="shared" si="0"/>
        <v xml:space="preserve"> </v>
      </c>
      <c r="X65" s="1203"/>
      <c r="Y65" s="880" t="s">
        <v>2271</v>
      </c>
      <c r="Z65" s="1187"/>
      <c r="AA65" s="1190"/>
      <c r="AB65" s="1274"/>
      <c r="AC65" s="1666"/>
      <c r="AD65" s="1667"/>
      <c r="AE65" s="881"/>
      <c r="AF65" s="892"/>
      <c r="AH65" s="1725"/>
      <c r="AI65" s="1725"/>
      <c r="CM65" s="425"/>
    </row>
    <row r="66" spans="3:91" ht="16.05" hidden="1" customHeight="1" x14ac:dyDescent="0.25">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7"/>
      <c r="L66" s="1688"/>
      <c r="M66" s="1689"/>
      <c r="N66" s="1190" cm="1">
        <f t="array" ref="N66">IF($E$20="Credera US",V66,SUMPRODUCT(('Rates &amp; Drop Downs INT'!$CG$6:$CG$747=$D66)*('Rates &amp; Drop Downs INT'!$CI$6:$CI$747=$F66)*('Rates &amp; Drop Downs INT'!$CK$6:$CK$747=$K66)*('Rates &amp; Drop Downs INT'!$CM$6:$CM$747)))</f>
        <v>0</v>
      </c>
      <c r="O66" s="1694"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95"/>
      <c r="Q66" s="1695"/>
      <c r="R66" s="1695"/>
      <c r="S66" s="1696"/>
      <c r="T66" s="1697"/>
      <c r="U66" s="1698"/>
      <c r="V66" s="1222" t="str">
        <f>IFERROR(IF(ISBLANK(K66)," ",_xlfn.XLOOKUP(K66,'Rates &amp; Drop Downs INT'!C:C,'Rates &amp; Drop Downs INT'!J:J)),N66)</f>
        <v xml:space="preserve"> </v>
      </c>
      <c r="W66" s="1203" t="str">
        <f t="shared" si="0"/>
        <v xml:space="preserve"> </v>
      </c>
      <c r="X66" s="1203"/>
      <c r="Y66" s="880" t="s">
        <v>2271</v>
      </c>
      <c r="Z66" s="1187"/>
      <c r="AA66" s="1190"/>
      <c r="AB66" s="1274"/>
      <c r="AC66" s="1666"/>
      <c r="AD66" s="1667"/>
      <c r="AE66" s="881"/>
      <c r="AF66" s="892"/>
      <c r="AH66" s="1725"/>
      <c r="AI66" s="1725"/>
      <c r="CM66" s="425"/>
    </row>
    <row r="67" spans="3:91" ht="16.05" hidden="1" customHeight="1" x14ac:dyDescent="0.25">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7"/>
      <c r="L67" s="1688"/>
      <c r="M67" s="1689"/>
      <c r="N67" s="1190" cm="1">
        <f t="array" ref="N67">IF($E$20="Credera US",V67,SUMPRODUCT(('Rates &amp; Drop Downs INT'!$CG$6:$CG$747=$D67)*('Rates &amp; Drop Downs INT'!$CI$6:$CI$747=$F67)*('Rates &amp; Drop Downs INT'!$CK$6:$CK$747=$K67)*('Rates &amp; Drop Downs INT'!$CM$6:$CM$747)))</f>
        <v>0</v>
      </c>
      <c r="O67" s="1694"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95"/>
      <c r="Q67" s="1695"/>
      <c r="R67" s="1695"/>
      <c r="S67" s="1696"/>
      <c r="T67" s="1697"/>
      <c r="U67" s="1698"/>
      <c r="V67" s="1222" t="str">
        <f>IFERROR(IF(ISBLANK(K67)," ",_xlfn.XLOOKUP(K67,'Rates &amp; Drop Downs INT'!C:C,'Rates &amp; Drop Downs INT'!J:J)),N67)</f>
        <v xml:space="preserve"> </v>
      </c>
      <c r="W67" s="1203" t="str">
        <f t="shared" si="0"/>
        <v xml:space="preserve"> </v>
      </c>
      <c r="X67" s="1203"/>
      <c r="Y67" s="880" t="s">
        <v>2271</v>
      </c>
      <c r="Z67" s="1187"/>
      <c r="AA67" s="1190"/>
      <c r="AB67" s="1274"/>
      <c r="AC67" s="1666"/>
      <c r="AD67" s="1667"/>
      <c r="AE67" s="881"/>
      <c r="AF67" s="892"/>
      <c r="AH67" s="1725"/>
      <c r="AI67" s="1725"/>
      <c r="CM67" s="425"/>
    </row>
    <row r="68" spans="3:91" ht="16.05" hidden="1" customHeight="1" x14ac:dyDescent="0.25">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7"/>
      <c r="L68" s="1688"/>
      <c r="M68" s="1689"/>
      <c r="N68" s="1190" cm="1">
        <f t="array" ref="N68">IF($E$20="Credera US",V68,SUMPRODUCT(('Rates &amp; Drop Downs INT'!$CG$6:$CG$747=$D68)*('Rates &amp; Drop Downs INT'!$CI$6:$CI$747=$F68)*('Rates &amp; Drop Downs INT'!$CK$6:$CK$747=$K68)*('Rates &amp; Drop Downs INT'!$CM$6:$CM$747)))</f>
        <v>0</v>
      </c>
      <c r="O68" s="1694"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95"/>
      <c r="Q68" s="1695"/>
      <c r="R68" s="1695"/>
      <c r="S68" s="1696"/>
      <c r="T68" s="1697"/>
      <c r="U68" s="1698"/>
      <c r="V68" s="1222" t="str">
        <f>IFERROR(IF(ISBLANK(K68)," ",_xlfn.XLOOKUP(K68,'Rates &amp; Drop Downs INT'!C:C,'Rates &amp; Drop Downs INT'!J:J)),N68)</f>
        <v xml:space="preserve"> </v>
      </c>
      <c r="W68" s="1203" t="str">
        <f t="shared" si="0"/>
        <v xml:space="preserve"> </v>
      </c>
      <c r="X68" s="1203"/>
      <c r="Y68" s="880" t="s">
        <v>2271</v>
      </c>
      <c r="Z68" s="1187"/>
      <c r="AA68" s="1190"/>
      <c r="AB68" s="1274"/>
      <c r="AC68" s="1666"/>
      <c r="AD68" s="1667"/>
      <c r="AE68" s="881"/>
      <c r="AF68" s="892"/>
      <c r="AH68" s="1725"/>
      <c r="AI68" s="1725"/>
      <c r="CM68" s="425"/>
    </row>
    <row r="69" spans="3:91" ht="16.05" hidden="1" customHeight="1" x14ac:dyDescent="0.25">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7"/>
      <c r="L69" s="1688"/>
      <c r="M69" s="1689"/>
      <c r="N69" s="1190" cm="1">
        <f t="array" ref="N69">IF($E$20="Credera US",V69,SUMPRODUCT(('Rates &amp; Drop Downs INT'!$CG$6:$CG$747=$D69)*('Rates &amp; Drop Downs INT'!$CI$6:$CI$747=$F69)*('Rates &amp; Drop Downs INT'!$CK$6:$CK$747=$K69)*('Rates &amp; Drop Downs INT'!$CM$6:$CM$747)))</f>
        <v>0</v>
      </c>
      <c r="O69" s="1694"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95"/>
      <c r="Q69" s="1695"/>
      <c r="R69" s="1695"/>
      <c r="S69" s="1696"/>
      <c r="T69" s="1697"/>
      <c r="U69" s="1698"/>
      <c r="V69" s="1222" t="str">
        <f>IFERROR(IF(ISBLANK(K69)," ",_xlfn.XLOOKUP(K69,'Rates &amp; Drop Downs INT'!C:C,'Rates &amp; Drop Downs INT'!J:J)),N69)</f>
        <v xml:space="preserve"> </v>
      </c>
      <c r="W69" s="1203" t="str">
        <f t="shared" si="0"/>
        <v xml:space="preserve"> </v>
      </c>
      <c r="X69" s="1203"/>
      <c r="Y69" s="880" t="s">
        <v>2271</v>
      </c>
      <c r="Z69" s="1187"/>
      <c r="AA69" s="1190"/>
      <c r="AB69" s="1274"/>
      <c r="AC69" s="1666"/>
      <c r="AD69" s="1667"/>
      <c r="AE69" s="881"/>
      <c r="AF69" s="892"/>
      <c r="AH69" s="1725"/>
      <c r="AI69" s="1725"/>
      <c r="CM69" s="425"/>
    </row>
    <row r="70" spans="3:91" ht="16.05" hidden="1" customHeight="1" x14ac:dyDescent="0.25">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7"/>
      <c r="L70" s="1688"/>
      <c r="M70" s="1689"/>
      <c r="N70" s="1190" cm="1">
        <f t="array" ref="N70">IF($E$20="Credera US",V70,SUMPRODUCT(('Rates &amp; Drop Downs INT'!$CG$6:$CG$747=$D70)*('Rates &amp; Drop Downs INT'!$CI$6:$CI$747=$F70)*('Rates &amp; Drop Downs INT'!$CK$6:$CK$747=$K70)*('Rates &amp; Drop Downs INT'!$CM$6:$CM$747)))</f>
        <v>0</v>
      </c>
      <c r="O70" s="1694"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95"/>
      <c r="Q70" s="1695"/>
      <c r="R70" s="1695"/>
      <c r="S70" s="1696"/>
      <c r="T70" s="1697"/>
      <c r="U70" s="1698"/>
      <c r="V70" s="1222" t="str">
        <f>IFERROR(IF(ISBLANK(K70)," ",_xlfn.XLOOKUP(K70,'Rates &amp; Drop Downs INT'!C:C,'Rates &amp; Drop Downs INT'!J:J)),N70)</f>
        <v xml:space="preserve"> </v>
      </c>
      <c r="W70" s="1203" t="str">
        <f t="shared" si="0"/>
        <v xml:space="preserve"> </v>
      </c>
      <c r="X70" s="1203"/>
      <c r="Y70" s="880" t="s">
        <v>2271</v>
      </c>
      <c r="Z70" s="1187"/>
      <c r="AA70" s="1190"/>
      <c r="AB70" s="1274"/>
      <c r="AC70" s="1666"/>
      <c r="AD70" s="1667"/>
      <c r="AE70" s="881"/>
      <c r="AF70" s="892"/>
      <c r="AH70" s="1725"/>
      <c r="AI70" s="1725"/>
      <c r="AJ70" s="413"/>
      <c r="AK70" s="413"/>
      <c r="AL70" s="413"/>
      <c r="AM70" s="413"/>
      <c r="CM70" s="425"/>
    </row>
    <row r="71" spans="3:91" ht="16.05" hidden="1" customHeight="1" x14ac:dyDescent="0.25">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7"/>
      <c r="L71" s="1688"/>
      <c r="M71" s="1689"/>
      <c r="N71" s="1190" cm="1">
        <f t="array" ref="N71">IF($E$20="Credera US",V71,SUMPRODUCT(('Rates &amp; Drop Downs INT'!$CG$6:$CG$747=$D71)*('Rates &amp; Drop Downs INT'!$CI$6:$CI$747=$F71)*('Rates &amp; Drop Downs INT'!$CK$6:$CK$747=$K71)*('Rates &amp; Drop Downs INT'!$CM$6:$CM$747)))</f>
        <v>0</v>
      </c>
      <c r="O71" s="1694"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95"/>
      <c r="Q71" s="1695"/>
      <c r="R71" s="1695"/>
      <c r="S71" s="1696"/>
      <c r="T71" s="1697"/>
      <c r="U71" s="1698"/>
      <c r="V71" s="1222" t="str">
        <f>IFERROR(IF(ISBLANK(K71)," ",_xlfn.XLOOKUP(K71,'Rates &amp; Drop Downs INT'!C:C,'Rates &amp; Drop Downs INT'!J:J)),N71)</f>
        <v xml:space="preserve"> </v>
      </c>
      <c r="W71" s="1203" t="str">
        <f t="shared" si="0"/>
        <v xml:space="preserve"> </v>
      </c>
      <c r="X71" s="1203"/>
      <c r="Y71" s="880" t="s">
        <v>2271</v>
      </c>
      <c r="Z71" s="1187"/>
      <c r="AA71" s="1190"/>
      <c r="AB71" s="1274"/>
      <c r="AC71" s="1666"/>
      <c r="AD71" s="1667"/>
      <c r="AE71" s="881"/>
      <c r="AF71" s="892"/>
      <c r="AH71" s="1725"/>
      <c r="AI71" s="1725"/>
      <c r="AJ71" s="413"/>
      <c r="AK71" s="413"/>
      <c r="AL71" s="413"/>
      <c r="AM71" s="413"/>
      <c r="CM71" s="425"/>
    </row>
    <row r="72" spans="3:91" ht="16.05" hidden="1" customHeight="1" x14ac:dyDescent="0.25">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7"/>
      <c r="L72" s="1688"/>
      <c r="M72" s="1689"/>
      <c r="N72" s="1190" cm="1">
        <f t="array" ref="N72">IF($E$20="Credera US",V72,SUMPRODUCT(('Rates &amp; Drop Downs INT'!$CG$6:$CG$747=$D72)*('Rates &amp; Drop Downs INT'!$CI$6:$CI$747=$F72)*('Rates &amp; Drop Downs INT'!$CK$6:$CK$747=$K72)*('Rates &amp; Drop Downs INT'!$CM$6:$CM$747)))</f>
        <v>0</v>
      </c>
      <c r="O72" s="1694"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95"/>
      <c r="Q72" s="1695"/>
      <c r="R72" s="1695"/>
      <c r="S72" s="1696"/>
      <c r="T72" s="1697"/>
      <c r="U72" s="1698"/>
      <c r="V72" s="1222" t="str">
        <f>IFERROR(IF(ISBLANK(K72)," ",_xlfn.XLOOKUP(K72,'Rates &amp; Drop Downs INT'!C:C,'Rates &amp; Drop Downs INT'!J:J)),N72)</f>
        <v xml:space="preserve"> </v>
      </c>
      <c r="W72" s="1203" t="str">
        <f t="shared" si="0"/>
        <v xml:space="preserve"> </v>
      </c>
      <c r="X72" s="1203"/>
      <c r="Y72" s="880" t="s">
        <v>2271</v>
      </c>
      <c r="Z72" s="1187"/>
      <c r="AA72" s="1190"/>
      <c r="AB72" s="1274"/>
      <c r="AC72" s="1666"/>
      <c r="AD72" s="1667"/>
      <c r="AE72" s="881"/>
      <c r="AF72" s="892"/>
      <c r="AH72" s="1725"/>
      <c r="AI72" s="1725"/>
      <c r="AJ72" s="413"/>
      <c r="AK72" s="413"/>
      <c r="AL72" s="413"/>
      <c r="AM72" s="413"/>
      <c r="CM72" s="425"/>
    </row>
    <row r="73" spans="3:91" ht="16.05" customHeight="1" outlineLevel="1" x14ac:dyDescent="0.25">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7"/>
      <c r="L73" s="1688"/>
      <c r="M73" s="1689"/>
      <c r="N73" s="1190" cm="1">
        <f t="array" ref="N73">IF($E$20="Credera US",V73,SUMPRODUCT(('Rates &amp; Drop Downs INT'!$CG$6:$CG$747=$D73)*('Rates &amp; Drop Downs INT'!$CI$6:$CI$747=$F73)*('Rates &amp; Drop Downs INT'!$CK$6:$CK$747=$K73)*('Rates &amp; Drop Downs INT'!$CM$6:$CM$747)))</f>
        <v>0</v>
      </c>
      <c r="O73" s="1694"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95"/>
      <c r="Q73" s="1695"/>
      <c r="R73" s="1695"/>
      <c r="S73" s="1696"/>
      <c r="T73" s="1697"/>
      <c r="U73" s="1698"/>
      <c r="V73" s="1222" t="str">
        <f>IFERROR(IF(ISBLANK(K73)," ",_xlfn.XLOOKUP(K73,'Rates &amp; Drop Downs INT'!C:C,'Rates &amp; Drop Downs INT'!J:J)),N73)</f>
        <v xml:space="preserve"> </v>
      </c>
      <c r="W73" s="1203" t="str">
        <f t="shared" si="0"/>
        <v xml:space="preserve"> </v>
      </c>
      <c r="X73" s="1203"/>
      <c r="Y73" s="880" t="s">
        <v>2271</v>
      </c>
      <c r="Z73" s="1187"/>
      <c r="AA73" s="1190"/>
      <c r="AB73" s="1274"/>
      <c r="AC73" s="1666"/>
      <c r="AD73" s="1667"/>
      <c r="AE73" s="881"/>
      <c r="AF73" s="892"/>
      <c r="AH73" s="1725"/>
      <c r="AI73" s="1725"/>
      <c r="AJ73" s="413"/>
      <c r="AK73" s="413"/>
      <c r="AL73" s="413"/>
      <c r="AM73" s="413"/>
      <c r="CM73" s="425"/>
    </row>
    <row r="74" spans="3:91" ht="16.05" customHeight="1" outlineLevel="1" x14ac:dyDescent="0.25">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7"/>
      <c r="L74" s="1688"/>
      <c r="M74" s="1689"/>
      <c r="N74" s="1190" cm="1">
        <f t="array" ref="N74">IF($E$20="Credera US",V74,SUMPRODUCT(('Rates &amp; Drop Downs INT'!$CG$6:$CG$747=$D74)*('Rates &amp; Drop Downs INT'!$CI$6:$CI$747=$F74)*('Rates &amp; Drop Downs INT'!$CK$6:$CK$747=$K74)*('Rates &amp; Drop Downs INT'!$CM$6:$CM$747)))</f>
        <v>0</v>
      </c>
      <c r="O74" s="1694"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95"/>
      <c r="Q74" s="1695"/>
      <c r="R74" s="1695"/>
      <c r="S74" s="1696"/>
      <c r="T74" s="1697"/>
      <c r="U74" s="1698"/>
      <c r="V74" s="1222" t="str">
        <f>IFERROR(IF(ISBLANK(K74)," ",_xlfn.XLOOKUP(K74,'Rates &amp; Drop Downs INT'!C:C,'Rates &amp; Drop Downs INT'!J:J)),N74)</f>
        <v xml:space="preserve"> </v>
      </c>
      <c r="W74" s="1203" t="str">
        <f t="shared" si="0"/>
        <v xml:space="preserve"> </v>
      </c>
      <c r="X74" s="1203"/>
      <c r="Y74" s="880" t="s">
        <v>2271</v>
      </c>
      <c r="Z74" s="1187"/>
      <c r="AA74" s="1190"/>
      <c r="AB74" s="1274"/>
      <c r="AC74" s="1666"/>
      <c r="AD74" s="1667"/>
      <c r="AE74" s="881"/>
      <c r="AF74" s="892"/>
      <c r="AH74" s="1725"/>
      <c r="AI74" s="1725"/>
      <c r="AJ74" s="413"/>
      <c r="AK74" s="413"/>
      <c r="AL74" s="413"/>
      <c r="AM74" s="413"/>
      <c r="CM74" s="425"/>
    </row>
    <row r="75" spans="3:91" ht="16.05" customHeight="1" outlineLevel="1" x14ac:dyDescent="0.25">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7"/>
      <c r="L75" s="1688"/>
      <c r="M75" s="1689"/>
      <c r="N75" s="1190" cm="1">
        <f t="array" ref="N75">IF($E$20="Credera US",V75,SUMPRODUCT(('Rates &amp; Drop Downs INT'!$CG$6:$CG$747=$D75)*('Rates &amp; Drop Downs INT'!$CI$6:$CI$747=$F75)*('Rates &amp; Drop Downs INT'!$CK$6:$CK$747=$K75)*('Rates &amp; Drop Downs INT'!$CM$6:$CM$747)))</f>
        <v>0</v>
      </c>
      <c r="O75" s="1694"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95"/>
      <c r="Q75" s="1695"/>
      <c r="R75" s="1695"/>
      <c r="S75" s="1696"/>
      <c r="T75" s="1697"/>
      <c r="U75" s="1698"/>
      <c r="V75" s="1222" t="str">
        <f>IFERROR(IF(ISBLANK(K75)," ",_xlfn.XLOOKUP(K75,'Rates &amp; Drop Downs INT'!C:C,'Rates &amp; Drop Downs INT'!J:J)),N75)</f>
        <v xml:space="preserve"> </v>
      </c>
      <c r="W75" s="1203" t="str">
        <f t="shared" si="0"/>
        <v xml:space="preserve"> </v>
      </c>
      <c r="X75" s="1203"/>
      <c r="Y75" s="880" t="s">
        <v>2271</v>
      </c>
      <c r="Z75" s="1187"/>
      <c r="AA75" s="1190"/>
      <c r="AB75" s="1274"/>
      <c r="AC75" s="1666"/>
      <c r="AD75" s="1667"/>
      <c r="AE75" s="881"/>
      <c r="AF75" s="892"/>
      <c r="AH75" s="1725"/>
      <c r="AI75" s="1725"/>
      <c r="AJ75" s="413"/>
      <c r="AK75" s="413"/>
      <c r="AL75" s="413"/>
      <c r="AM75" s="413"/>
      <c r="CM75" s="425"/>
    </row>
    <row r="76" spans="3:91" ht="16.05" customHeight="1" outlineLevel="1" x14ac:dyDescent="0.25">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7"/>
      <c r="L76" s="1688"/>
      <c r="M76" s="1689"/>
      <c r="N76" s="1190" cm="1">
        <f t="array" ref="N76">IF($E$20="Credera US",V76,SUMPRODUCT(('Rates &amp; Drop Downs INT'!$CG$6:$CG$747=$D76)*('Rates &amp; Drop Downs INT'!$CI$6:$CI$747=$F76)*('Rates &amp; Drop Downs INT'!$CK$6:$CK$747=$K76)*('Rates &amp; Drop Downs INT'!$CM$6:$CM$747)))</f>
        <v>0</v>
      </c>
      <c r="O76" s="1694"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95"/>
      <c r="Q76" s="1695"/>
      <c r="R76" s="1695"/>
      <c r="S76" s="1696"/>
      <c r="T76" s="1697"/>
      <c r="U76" s="1698"/>
      <c r="V76" s="1222" t="str">
        <f>IFERROR(IF(ISBLANK(K76)," ",_xlfn.XLOOKUP(K76,'Rates &amp; Drop Downs INT'!C:C,'Rates &amp; Drop Downs INT'!J:J)),N76)</f>
        <v xml:space="preserve"> </v>
      </c>
      <c r="W76" s="1203" t="str">
        <f t="shared" si="0"/>
        <v xml:space="preserve"> </v>
      </c>
      <c r="X76" s="1203"/>
      <c r="Y76" s="880" t="s">
        <v>2271</v>
      </c>
      <c r="Z76" s="1187"/>
      <c r="AA76" s="1190"/>
      <c r="AB76" s="1274"/>
      <c r="AC76" s="1666"/>
      <c r="AD76" s="1667"/>
      <c r="AE76" s="881"/>
      <c r="AF76" s="892"/>
      <c r="AH76" s="1725"/>
      <c r="AI76" s="1725"/>
      <c r="AJ76" s="413"/>
      <c r="AK76" s="413"/>
      <c r="AL76" s="413"/>
      <c r="AM76" s="413"/>
      <c r="CM76" s="425"/>
    </row>
    <row r="77" spans="3:91" ht="16.05" customHeight="1" outlineLevel="1" x14ac:dyDescent="0.25">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7"/>
      <c r="L77" s="1688"/>
      <c r="M77" s="1689"/>
      <c r="N77" s="1190" cm="1">
        <f t="array" ref="N77">IF($E$20="Credera US",V77,SUMPRODUCT(('Rates &amp; Drop Downs INT'!$CG$6:$CG$747=$D77)*('Rates &amp; Drop Downs INT'!$CI$6:$CI$747=$F77)*('Rates &amp; Drop Downs INT'!$CK$6:$CK$747=$K77)*('Rates &amp; Drop Downs INT'!$CM$6:$CM$747)))</f>
        <v>0</v>
      </c>
      <c r="O77" s="1694"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95"/>
      <c r="Q77" s="1695"/>
      <c r="R77" s="1695"/>
      <c r="S77" s="1696"/>
      <c r="T77" s="1697"/>
      <c r="U77" s="1698"/>
      <c r="V77" s="1222" t="str">
        <f>IFERROR(IF(ISBLANK(K77)," ",_xlfn.XLOOKUP(K77,'Rates &amp; Drop Downs INT'!C:C,'Rates &amp; Drop Downs INT'!J:J)),N77)</f>
        <v xml:space="preserve"> </v>
      </c>
      <c r="W77" s="1203" t="str">
        <f t="shared" si="0"/>
        <v xml:space="preserve"> </v>
      </c>
      <c r="X77" s="1203"/>
      <c r="Y77" s="880" t="s">
        <v>2271</v>
      </c>
      <c r="Z77" s="1187"/>
      <c r="AA77" s="1190"/>
      <c r="AB77" s="1274"/>
      <c r="AC77" s="1666"/>
      <c r="AD77" s="1667"/>
      <c r="AE77" s="881"/>
      <c r="AF77" s="892"/>
      <c r="AH77" s="1725"/>
      <c r="AI77" s="1725"/>
      <c r="AJ77" s="413"/>
      <c r="AK77" s="413"/>
      <c r="AL77" s="413"/>
      <c r="AM77" s="413"/>
      <c r="CM77" s="425"/>
    </row>
    <row r="78" spans="3:91" ht="16.05" customHeight="1" outlineLevel="1" x14ac:dyDescent="0.25">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7"/>
      <c r="L78" s="1688"/>
      <c r="M78" s="1689"/>
      <c r="N78" s="1190" cm="1">
        <f t="array" ref="N78">IF($E$20="Credera US",V78,SUMPRODUCT(('Rates &amp; Drop Downs INT'!$CG$6:$CG$747=$D78)*('Rates &amp; Drop Downs INT'!$CI$6:$CI$747=$F78)*('Rates &amp; Drop Downs INT'!$CK$6:$CK$747=$K78)*('Rates &amp; Drop Downs INT'!$CM$6:$CM$747)))</f>
        <v>0</v>
      </c>
      <c r="O78" s="1694"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95"/>
      <c r="Q78" s="1695"/>
      <c r="R78" s="1695"/>
      <c r="S78" s="1696"/>
      <c r="T78" s="1697"/>
      <c r="U78" s="1698"/>
      <c r="V78" s="1222" t="str">
        <f>IFERROR(IF(ISBLANK(K78)," ",_xlfn.XLOOKUP(K78,'Rates &amp; Drop Downs INT'!C:C,'Rates &amp; Drop Downs INT'!J:J)),N78)</f>
        <v xml:space="preserve"> </v>
      </c>
      <c r="W78" s="1203" t="str">
        <f t="shared" si="0"/>
        <v xml:space="preserve"> </v>
      </c>
      <c r="X78" s="1203"/>
      <c r="Y78" s="880" t="s">
        <v>2271</v>
      </c>
      <c r="Z78" s="1187"/>
      <c r="AA78" s="1190"/>
      <c r="AB78" s="1274"/>
      <c r="AC78" s="1666"/>
      <c r="AD78" s="1667"/>
      <c r="AE78" s="881"/>
      <c r="AF78" s="892"/>
      <c r="AH78" s="1725"/>
      <c r="AI78" s="1725"/>
      <c r="AJ78" s="413"/>
      <c r="AK78" s="413"/>
      <c r="AL78" s="413"/>
      <c r="AM78" s="413"/>
      <c r="CM78" s="425"/>
    </row>
    <row r="79" spans="3:91" ht="16.05" customHeight="1" outlineLevel="1" x14ac:dyDescent="0.25">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7"/>
      <c r="L79" s="1688"/>
      <c r="M79" s="1689"/>
      <c r="N79" s="1190" cm="1">
        <f t="array" ref="N79">IF($E$20="Credera US",V79,SUMPRODUCT(('Rates &amp; Drop Downs INT'!$CG$6:$CG$747=$D79)*('Rates &amp; Drop Downs INT'!$CI$6:$CI$747=$F79)*('Rates &amp; Drop Downs INT'!$CK$6:$CK$747=$K79)*('Rates &amp; Drop Downs INT'!$CM$6:$CM$747)))</f>
        <v>0</v>
      </c>
      <c r="O79" s="1694"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95"/>
      <c r="Q79" s="1695"/>
      <c r="R79" s="1695"/>
      <c r="S79" s="1696"/>
      <c r="T79" s="1697"/>
      <c r="U79" s="1698"/>
      <c r="V79" s="1222" t="str">
        <f>IFERROR(IF(ISBLANK(K79)," ",_xlfn.XLOOKUP(K79,'Rates &amp; Drop Downs INT'!C:C,'Rates &amp; Drop Downs INT'!J:J)),N79)</f>
        <v xml:space="preserve"> </v>
      </c>
      <c r="W79" s="1203" t="str">
        <f t="shared" si="0"/>
        <v xml:space="preserve"> </v>
      </c>
      <c r="X79" s="1203"/>
      <c r="Y79" s="880" t="s">
        <v>2271</v>
      </c>
      <c r="Z79" s="1187"/>
      <c r="AA79" s="1190"/>
      <c r="AB79" s="1274"/>
      <c r="AC79" s="1666"/>
      <c r="AD79" s="1667"/>
      <c r="AE79" s="881"/>
      <c r="AF79" s="892"/>
      <c r="AH79" s="1725"/>
      <c r="AI79" s="1725"/>
      <c r="AJ79" s="413"/>
      <c r="AK79" s="413"/>
      <c r="AL79" s="413"/>
      <c r="AM79" s="413"/>
      <c r="CM79" s="425"/>
    </row>
    <row r="80" spans="3:91" ht="16.05" customHeight="1" outlineLevel="1" x14ac:dyDescent="0.25">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7"/>
      <c r="L80" s="1688"/>
      <c r="M80" s="1689"/>
      <c r="N80" s="1190" cm="1">
        <f t="array" ref="N80">IF($E$20="Credera US",V80,SUMPRODUCT(('Rates &amp; Drop Downs INT'!$CG$6:$CG$747=$D80)*('Rates &amp; Drop Downs INT'!$CI$6:$CI$747=$F80)*('Rates &amp; Drop Downs INT'!$CK$6:$CK$747=$K80)*('Rates &amp; Drop Downs INT'!$CM$6:$CM$747)))</f>
        <v>0</v>
      </c>
      <c r="O80" s="1694"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95"/>
      <c r="Q80" s="1695"/>
      <c r="R80" s="1695"/>
      <c r="S80" s="1696"/>
      <c r="T80" s="1697"/>
      <c r="U80" s="1698"/>
      <c r="V80" s="1222" t="str">
        <f>IFERROR(IF(ISBLANK(K80)," ",_xlfn.XLOOKUP(K80,'Rates &amp; Drop Downs INT'!C:C,'Rates &amp; Drop Downs INT'!J:J)),N80)</f>
        <v xml:space="preserve"> </v>
      </c>
      <c r="W80" s="1203" t="str">
        <f t="shared" si="0"/>
        <v xml:space="preserve"> </v>
      </c>
      <c r="X80" s="1203"/>
      <c r="Y80" s="880" t="s">
        <v>2271</v>
      </c>
      <c r="Z80" s="1187"/>
      <c r="AA80" s="1190"/>
      <c r="AB80" s="1274"/>
      <c r="AC80" s="1666"/>
      <c r="AD80" s="1667"/>
      <c r="AE80" s="881"/>
      <c r="AF80" s="892"/>
      <c r="AH80" s="1725"/>
      <c r="AI80" s="1725"/>
      <c r="AJ80" s="413"/>
      <c r="AK80" s="413"/>
      <c r="AL80" s="413"/>
      <c r="AM80" s="413"/>
      <c r="CM80" s="425"/>
    </row>
    <row r="81" spans="3:91" ht="16.05" customHeight="1" outlineLevel="1" x14ac:dyDescent="0.25">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7"/>
      <c r="L81" s="1688"/>
      <c r="M81" s="1689"/>
      <c r="N81" s="1190" cm="1">
        <f t="array" ref="N81">IF($E$20="Credera US",V81,SUMPRODUCT(('Rates &amp; Drop Downs INT'!$CG$6:$CG$747=$D81)*('Rates &amp; Drop Downs INT'!$CI$6:$CI$747=$F81)*('Rates &amp; Drop Downs INT'!$CK$6:$CK$747=$K81)*('Rates &amp; Drop Downs INT'!$CM$6:$CM$747)))</f>
        <v>0</v>
      </c>
      <c r="O81" s="1694"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95"/>
      <c r="Q81" s="1695"/>
      <c r="R81" s="1695"/>
      <c r="S81" s="1696"/>
      <c r="T81" s="1697"/>
      <c r="U81" s="1698"/>
      <c r="V81" s="1222" t="str">
        <f>IFERROR(IF(ISBLANK(K81)," ",_xlfn.XLOOKUP(K81,'Rates &amp; Drop Downs INT'!C:C,'Rates &amp; Drop Downs INT'!J:J)),N81)</f>
        <v xml:space="preserve"> </v>
      </c>
      <c r="W81" s="1203" t="str">
        <f t="shared" si="0"/>
        <v xml:space="preserve"> </v>
      </c>
      <c r="X81" s="1203"/>
      <c r="Y81" s="880" t="s">
        <v>2271</v>
      </c>
      <c r="Z81" s="1187"/>
      <c r="AA81" s="1190"/>
      <c r="AB81" s="1274"/>
      <c r="AC81" s="1666"/>
      <c r="AD81" s="1667"/>
      <c r="AE81" s="881"/>
      <c r="AF81" s="892"/>
      <c r="AH81" s="1725"/>
      <c r="AI81" s="1725"/>
      <c r="AJ81" s="413"/>
      <c r="AK81" s="413"/>
      <c r="AL81" s="413"/>
      <c r="AM81" s="413"/>
      <c r="CM81" s="425"/>
    </row>
    <row r="82" spans="3:91" ht="16.05" customHeight="1" outlineLevel="1" x14ac:dyDescent="0.25">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7"/>
      <c r="L82" s="1688"/>
      <c r="M82" s="1689"/>
      <c r="N82" s="1190" cm="1">
        <f t="array" ref="N82">IF($E$20="Credera US",V82,SUMPRODUCT(('Rates &amp; Drop Downs INT'!$CG$6:$CG$747=$D82)*('Rates &amp; Drop Downs INT'!$CI$6:$CI$747=$F82)*('Rates &amp; Drop Downs INT'!$CK$6:$CK$747=$K82)*('Rates &amp; Drop Downs INT'!$CM$6:$CM$747)))</f>
        <v>0</v>
      </c>
      <c r="O82" s="1694"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95"/>
      <c r="Q82" s="1695"/>
      <c r="R82" s="1695"/>
      <c r="S82" s="1696"/>
      <c r="T82" s="1697"/>
      <c r="U82" s="1698"/>
      <c r="V82" s="1222" t="str">
        <f>IFERROR(IF(ISBLANK(K82)," ",_xlfn.XLOOKUP(K82,'Rates &amp; Drop Downs INT'!C:C,'Rates &amp; Drop Downs INT'!J:J)),N82)</f>
        <v xml:space="preserve"> </v>
      </c>
      <c r="W82" s="1203" t="str">
        <f t="shared" si="0"/>
        <v xml:space="preserve"> </v>
      </c>
      <c r="X82" s="1203"/>
      <c r="Y82" s="880" t="s">
        <v>2271</v>
      </c>
      <c r="Z82" s="1187"/>
      <c r="AA82" s="1190"/>
      <c r="AB82" s="1274"/>
      <c r="AC82" s="1666"/>
      <c r="AD82" s="1667"/>
      <c r="AE82" s="881"/>
      <c r="AF82" s="892"/>
      <c r="AH82" s="1725"/>
      <c r="AI82" s="1725"/>
      <c r="AJ82" s="413"/>
      <c r="AK82" s="413"/>
      <c r="AL82" s="413"/>
      <c r="AM82" s="413"/>
      <c r="CM82" s="425"/>
    </row>
    <row r="83" spans="3:91" ht="16.05" customHeight="1" outlineLevel="1" x14ac:dyDescent="0.25">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7"/>
      <c r="L83" s="1688"/>
      <c r="M83" s="1689"/>
      <c r="N83" s="1190" cm="1">
        <f t="array" ref="N83">IF($E$20="Credera US",V83,SUMPRODUCT(('Rates &amp; Drop Downs INT'!$CG$6:$CG$747=$D83)*('Rates &amp; Drop Downs INT'!$CI$6:$CI$747=$F83)*('Rates &amp; Drop Downs INT'!$CK$6:$CK$747=$K83)*('Rates &amp; Drop Downs INT'!$CM$6:$CM$747)))</f>
        <v>0</v>
      </c>
      <c r="O83" s="1694"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95"/>
      <c r="Q83" s="1695"/>
      <c r="R83" s="1695"/>
      <c r="S83" s="1696"/>
      <c r="T83" s="1697"/>
      <c r="U83" s="1698"/>
      <c r="V83" s="1222" t="str">
        <f>IFERROR(IF(ISBLANK(K83)," ",_xlfn.XLOOKUP(K83,'Rates &amp; Drop Downs INT'!C:C,'Rates &amp; Drop Downs INT'!J:J)),N83)</f>
        <v xml:space="preserve"> </v>
      </c>
      <c r="W83" s="1203" t="str">
        <f t="shared" si="0"/>
        <v xml:space="preserve"> </v>
      </c>
      <c r="X83" s="1203"/>
      <c r="Y83" s="880" t="s">
        <v>2271</v>
      </c>
      <c r="Z83" s="1187"/>
      <c r="AA83" s="1190"/>
      <c r="AB83" s="1274"/>
      <c r="AC83" s="1666"/>
      <c r="AD83" s="1667"/>
      <c r="AE83" s="881"/>
      <c r="AF83" s="892"/>
      <c r="AH83" s="1725"/>
      <c r="AI83" s="1725"/>
      <c r="AJ83" s="413"/>
      <c r="AK83" s="413"/>
      <c r="AL83" s="413"/>
      <c r="AM83" s="413"/>
      <c r="CM83" s="425"/>
    </row>
    <row r="84" spans="3:91" ht="16.05" customHeight="1" outlineLevel="1" x14ac:dyDescent="0.25">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7"/>
      <c r="L84" s="1688"/>
      <c r="M84" s="1689"/>
      <c r="N84" s="1190" cm="1">
        <f t="array" ref="N84">IF($E$20="Credera US",V84,SUMPRODUCT(('Rates &amp; Drop Downs INT'!$CG$6:$CG$747=$D84)*('Rates &amp; Drop Downs INT'!$CI$6:$CI$747=$F84)*('Rates &amp; Drop Downs INT'!$CK$6:$CK$747=$K84)*('Rates &amp; Drop Downs INT'!$CM$6:$CM$747)))</f>
        <v>0</v>
      </c>
      <c r="O84" s="1694"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95"/>
      <c r="Q84" s="1695"/>
      <c r="R84" s="1695"/>
      <c r="S84" s="1696"/>
      <c r="T84" s="1697"/>
      <c r="U84" s="1698"/>
      <c r="V84" s="1222" t="str">
        <f>IFERROR(IF(ISBLANK(K84)," ",_xlfn.XLOOKUP(K84,'Rates &amp; Drop Downs INT'!C:C,'Rates &amp; Drop Downs INT'!J:J)),N84)</f>
        <v xml:space="preserve"> </v>
      </c>
      <c r="W84" s="1203" t="str">
        <f t="shared" si="0"/>
        <v xml:space="preserve"> </v>
      </c>
      <c r="X84" s="1203"/>
      <c r="Y84" s="880" t="s">
        <v>2271</v>
      </c>
      <c r="Z84" s="1187"/>
      <c r="AA84" s="1190"/>
      <c r="AB84" s="1274"/>
      <c r="AC84" s="1666"/>
      <c r="AD84" s="1667"/>
      <c r="AE84" s="881"/>
      <c r="AF84" s="892"/>
      <c r="AH84" s="1725"/>
      <c r="AI84" s="1725"/>
      <c r="AJ84" s="413"/>
      <c r="AK84" s="413"/>
      <c r="AL84" s="413"/>
      <c r="AM84" s="413"/>
      <c r="CM84" s="425"/>
    </row>
    <row r="85" spans="3:91" ht="16.05" customHeight="1" outlineLevel="1" x14ac:dyDescent="0.25">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7"/>
      <c r="L85" s="1688"/>
      <c r="M85" s="1689"/>
      <c r="N85" s="1190" cm="1">
        <f t="array" ref="N85">IF($E$20="Credera US",V85,SUMPRODUCT(('Rates &amp; Drop Downs INT'!$CG$6:$CG$747=$D85)*('Rates &amp; Drop Downs INT'!$CI$6:$CI$747=$F85)*('Rates &amp; Drop Downs INT'!$CK$6:$CK$747=$K85)*('Rates &amp; Drop Downs INT'!$CM$6:$CM$747)))</f>
        <v>0</v>
      </c>
      <c r="O85" s="1694"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95"/>
      <c r="Q85" s="1695"/>
      <c r="R85" s="1695"/>
      <c r="S85" s="1696"/>
      <c r="T85" s="1697"/>
      <c r="U85" s="1698"/>
      <c r="V85" s="1222" t="str">
        <f>IFERROR(IF(ISBLANK(K85)," ",_xlfn.XLOOKUP(K85,'Rates &amp; Drop Downs INT'!C:C,'Rates &amp; Drop Downs INT'!J:J)),N85)</f>
        <v xml:space="preserve"> </v>
      </c>
      <c r="W85" s="1203" t="str">
        <f t="shared" si="0"/>
        <v xml:space="preserve"> </v>
      </c>
      <c r="X85" s="1203"/>
      <c r="Y85" s="880" t="s">
        <v>2271</v>
      </c>
      <c r="Z85" s="1187"/>
      <c r="AA85" s="1190"/>
      <c r="AB85" s="1274"/>
      <c r="AC85" s="1666"/>
      <c r="AD85" s="1667"/>
      <c r="AE85" s="881"/>
      <c r="AF85" s="892"/>
      <c r="AH85" s="1725"/>
      <c r="AI85" s="1725"/>
      <c r="AJ85" s="413"/>
      <c r="AK85" s="413"/>
      <c r="AL85" s="413"/>
      <c r="AM85" s="413"/>
      <c r="CM85" s="425"/>
    </row>
    <row r="86" spans="3:91" ht="16.05" customHeight="1" outlineLevel="1" x14ac:dyDescent="0.25">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7"/>
      <c r="L86" s="1688"/>
      <c r="M86" s="1689"/>
      <c r="N86" s="1190" cm="1">
        <f t="array" ref="N86">IF($E$20="Credera US",V86,SUMPRODUCT(('Rates &amp; Drop Downs INT'!$CG$6:$CG$747=$D86)*('Rates &amp; Drop Downs INT'!$CI$6:$CI$747=$F86)*('Rates &amp; Drop Downs INT'!$CK$6:$CK$747=$K86)*('Rates &amp; Drop Downs INT'!$CM$6:$CM$747)))</f>
        <v>0</v>
      </c>
      <c r="O86" s="1694"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95"/>
      <c r="Q86" s="1695"/>
      <c r="R86" s="1695"/>
      <c r="S86" s="1696"/>
      <c r="T86" s="1697"/>
      <c r="U86" s="1698"/>
      <c r="V86" s="1222" t="str">
        <f>IFERROR(IF(ISBLANK(K86)," ",_xlfn.XLOOKUP(K86,'Rates &amp; Drop Downs INT'!C:C,'Rates &amp; Drop Downs INT'!J:J)),N86)</f>
        <v xml:space="preserve"> </v>
      </c>
      <c r="W86" s="1203" t="str">
        <f t="shared" si="0"/>
        <v xml:space="preserve"> </v>
      </c>
      <c r="X86" s="1203"/>
      <c r="Y86" s="880" t="s">
        <v>2271</v>
      </c>
      <c r="Z86" s="1187"/>
      <c r="AA86" s="1190"/>
      <c r="AB86" s="1274"/>
      <c r="AC86" s="1666"/>
      <c r="AD86" s="1667"/>
      <c r="AE86" s="881"/>
      <c r="AF86" s="892"/>
      <c r="AH86" s="1725"/>
      <c r="AI86" s="1725"/>
      <c r="AJ86" s="413"/>
      <c r="AK86" s="413"/>
      <c r="AL86" s="413"/>
      <c r="AM86" s="413"/>
      <c r="CM86" s="425"/>
    </row>
    <row r="87" spans="3:91" ht="16.05" customHeight="1" outlineLevel="1" x14ac:dyDescent="0.25">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7"/>
      <c r="L87" s="1688"/>
      <c r="M87" s="1689"/>
      <c r="N87" s="1190" cm="1">
        <f t="array" ref="N87">IF($E$20="Credera US",V87,SUMPRODUCT(('Rates &amp; Drop Downs INT'!$CG$6:$CG$747=$D87)*('Rates &amp; Drop Downs INT'!$CI$6:$CI$747=$F87)*('Rates &amp; Drop Downs INT'!$CK$6:$CK$747=$K87)*('Rates &amp; Drop Downs INT'!$CM$6:$CM$747)))</f>
        <v>0</v>
      </c>
      <c r="O87" s="1694"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95"/>
      <c r="Q87" s="1695"/>
      <c r="R87" s="1695"/>
      <c r="S87" s="1696"/>
      <c r="T87" s="1697"/>
      <c r="U87" s="1698"/>
      <c r="V87" s="1222" t="str">
        <f>IFERROR(IF(ISBLANK(K87)," ",_xlfn.XLOOKUP(K87,'Rates &amp; Drop Downs INT'!C:C,'Rates &amp; Drop Downs INT'!J:J)),N87)</f>
        <v xml:space="preserve"> </v>
      </c>
      <c r="W87" s="1203" t="str">
        <f t="shared" si="0"/>
        <v xml:space="preserve"> </v>
      </c>
      <c r="X87" s="1203"/>
      <c r="Y87" s="880" t="s">
        <v>2271</v>
      </c>
      <c r="Z87" s="1187"/>
      <c r="AA87" s="1190"/>
      <c r="AB87" s="1274"/>
      <c r="AC87" s="1666"/>
      <c r="AD87" s="1667"/>
      <c r="AE87" s="881"/>
      <c r="AF87" s="892"/>
      <c r="AH87" s="1725"/>
      <c r="AI87" s="1725"/>
      <c r="AJ87" s="413"/>
      <c r="AK87" s="413"/>
      <c r="AL87" s="413"/>
      <c r="AM87" s="413"/>
      <c r="CM87" s="425"/>
    </row>
    <row r="88" spans="3:91" ht="16.05" customHeight="1" outlineLevel="1" x14ac:dyDescent="0.25">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7"/>
      <c r="L88" s="1688"/>
      <c r="M88" s="1689"/>
      <c r="N88" s="1190" cm="1">
        <f t="array" ref="N88">IF($E$20="Credera US",V88,SUMPRODUCT(('Rates &amp; Drop Downs INT'!$CG$6:$CG$747=$D88)*('Rates &amp; Drop Downs INT'!$CI$6:$CI$747=$F88)*('Rates &amp; Drop Downs INT'!$CK$6:$CK$747=$K88)*('Rates &amp; Drop Downs INT'!$CM$6:$CM$747)))</f>
        <v>0</v>
      </c>
      <c r="O88" s="1694"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95"/>
      <c r="Q88" s="1695"/>
      <c r="R88" s="1695"/>
      <c r="S88" s="1696"/>
      <c r="T88" s="1697"/>
      <c r="U88" s="1698"/>
      <c r="V88" s="1222" t="str">
        <f>IFERROR(IF(ISBLANK(K88)," ",_xlfn.XLOOKUP(K88,'Rates &amp; Drop Downs INT'!C:C,'Rates &amp; Drop Downs INT'!J:J)),N88)</f>
        <v xml:space="preserve"> </v>
      </c>
      <c r="W88" s="1203" t="str">
        <f t="shared" si="0"/>
        <v xml:space="preserve"> </v>
      </c>
      <c r="X88" s="1203"/>
      <c r="Y88" s="880" t="s">
        <v>2271</v>
      </c>
      <c r="Z88" s="1187"/>
      <c r="AA88" s="1190"/>
      <c r="AB88" s="1274"/>
      <c r="AC88" s="1666"/>
      <c r="AD88" s="1667"/>
      <c r="AE88" s="881"/>
      <c r="AF88" s="892"/>
      <c r="AH88" s="1725"/>
      <c r="AI88" s="1725"/>
      <c r="AJ88" s="413"/>
      <c r="AK88" s="413"/>
      <c r="AL88" s="413"/>
      <c r="AM88" s="413"/>
      <c r="CM88" s="425"/>
    </row>
    <row r="89" spans="3:91" ht="16.05" customHeight="1" outlineLevel="1" x14ac:dyDescent="0.25">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7"/>
      <c r="L89" s="1688"/>
      <c r="M89" s="1689"/>
      <c r="N89" s="1190" cm="1">
        <f t="array" ref="N89">IF($E$20="Credera US",V89,SUMPRODUCT(('Rates &amp; Drop Downs INT'!$CG$6:$CG$747=$D89)*('Rates &amp; Drop Downs INT'!$CI$6:$CI$747=$F89)*('Rates &amp; Drop Downs INT'!$CK$6:$CK$747=$K89)*('Rates &amp; Drop Downs INT'!$CM$6:$CM$747)))</f>
        <v>0</v>
      </c>
      <c r="O89" s="1694"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95"/>
      <c r="Q89" s="1695"/>
      <c r="R89" s="1695"/>
      <c r="S89" s="1696"/>
      <c r="T89" s="1697"/>
      <c r="U89" s="1698"/>
      <c r="V89" s="1222" t="str">
        <f>IFERROR(IF(ISBLANK(K89)," ",_xlfn.XLOOKUP(K89,'Rates &amp; Drop Downs INT'!C:C,'Rates &amp; Drop Downs INT'!J:J)),N89)</f>
        <v xml:space="preserve"> </v>
      </c>
      <c r="W89" s="1203" t="str">
        <f t="shared" si="0"/>
        <v xml:space="preserve"> </v>
      </c>
      <c r="X89" s="1203"/>
      <c r="Y89" s="880" t="s">
        <v>2271</v>
      </c>
      <c r="Z89" s="1187"/>
      <c r="AA89" s="1190"/>
      <c r="AB89" s="1274"/>
      <c r="AC89" s="1666"/>
      <c r="AD89" s="1667"/>
      <c r="AE89" s="881"/>
      <c r="AF89" s="892"/>
      <c r="AH89" s="1725"/>
      <c r="AI89" s="1725"/>
      <c r="AJ89" s="413"/>
      <c r="AK89" s="413"/>
      <c r="AL89" s="413"/>
      <c r="AM89" s="413"/>
      <c r="CM89" s="425"/>
    </row>
    <row r="90" spans="3:91" ht="16.05" customHeight="1" outlineLevel="1" x14ac:dyDescent="0.25">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7"/>
      <c r="L90" s="1688"/>
      <c r="M90" s="1689"/>
      <c r="N90" s="1190" cm="1">
        <f t="array" ref="N90">IF($E$20="Credera US",V90,SUMPRODUCT(('Rates &amp; Drop Downs INT'!$CG$6:$CG$747=$D90)*('Rates &amp; Drop Downs INT'!$CI$6:$CI$747=$F90)*('Rates &amp; Drop Downs INT'!$CK$6:$CK$747=$K90)*('Rates &amp; Drop Downs INT'!$CM$6:$CM$747)))</f>
        <v>0</v>
      </c>
      <c r="O90" s="1694"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95"/>
      <c r="Q90" s="1695"/>
      <c r="R90" s="1695"/>
      <c r="S90" s="1696"/>
      <c r="T90" s="1697"/>
      <c r="U90" s="1698"/>
      <c r="V90" s="1222" t="str">
        <f>IFERROR(IF(ISBLANK(K90)," ",_xlfn.XLOOKUP(K90,'Rates &amp; Drop Downs INT'!C:C,'Rates &amp; Drop Downs INT'!J:J)),N90)</f>
        <v xml:space="preserve"> </v>
      </c>
      <c r="W90" s="1203" t="str">
        <f t="shared" si="0"/>
        <v xml:space="preserve"> </v>
      </c>
      <c r="X90" s="1203"/>
      <c r="Y90" s="880" t="s">
        <v>2271</v>
      </c>
      <c r="Z90" s="1187"/>
      <c r="AA90" s="1190"/>
      <c r="AB90" s="1274"/>
      <c r="AC90" s="1666"/>
      <c r="AD90" s="1667"/>
      <c r="AE90" s="881"/>
      <c r="AF90" s="892"/>
      <c r="AH90" s="1725"/>
      <c r="AI90" s="1725"/>
      <c r="AJ90" s="413"/>
      <c r="AK90" s="413"/>
      <c r="AL90" s="413"/>
      <c r="AM90" s="413"/>
      <c r="CM90" s="425"/>
    </row>
    <row r="91" spans="3:91" ht="16.05" customHeight="1" outlineLevel="1" x14ac:dyDescent="0.25">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7"/>
      <c r="L91" s="1688"/>
      <c r="M91" s="1689"/>
      <c r="N91" s="1190" cm="1">
        <f t="array" ref="N91">IF($E$20="Credera US",V91,SUMPRODUCT(('Rates &amp; Drop Downs INT'!$CG$6:$CG$747=$D91)*('Rates &amp; Drop Downs INT'!$CI$6:$CI$747=$F91)*('Rates &amp; Drop Downs INT'!$CK$6:$CK$747=$K91)*('Rates &amp; Drop Downs INT'!$CM$6:$CM$747)))</f>
        <v>0</v>
      </c>
      <c r="O91" s="1694"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95"/>
      <c r="Q91" s="1695"/>
      <c r="R91" s="1695"/>
      <c r="S91" s="1696"/>
      <c r="T91" s="1697"/>
      <c r="U91" s="1698"/>
      <c r="V91" s="1222" t="str">
        <f>IFERROR(IF(ISBLANK(K91)," ",_xlfn.XLOOKUP(K91,'Rates &amp; Drop Downs INT'!C:C,'Rates &amp; Drop Downs INT'!J:J)),N91)</f>
        <v xml:space="preserve"> </v>
      </c>
      <c r="W91" s="1203" t="str">
        <f t="shared" si="0"/>
        <v xml:space="preserve"> </v>
      </c>
      <c r="X91" s="1203"/>
      <c r="Y91" s="880" t="s">
        <v>2271</v>
      </c>
      <c r="Z91" s="1187"/>
      <c r="AA91" s="1190"/>
      <c r="AB91" s="1274"/>
      <c r="AC91" s="1666"/>
      <c r="AD91" s="1667"/>
      <c r="AE91" s="881"/>
      <c r="AF91" s="892"/>
      <c r="AH91" s="1725"/>
      <c r="AI91" s="1725"/>
      <c r="AJ91" s="413"/>
      <c r="AK91" s="413"/>
      <c r="AL91" s="413"/>
      <c r="AM91" s="413"/>
      <c r="CM91" s="425"/>
    </row>
    <row r="92" spans="3:91" ht="16.05" customHeight="1" outlineLevel="1" x14ac:dyDescent="0.25">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7"/>
      <c r="L92" s="1688"/>
      <c r="M92" s="1689"/>
      <c r="N92" s="1190" cm="1">
        <f t="array" ref="N92">IF($E$20="Credera US",V92,SUMPRODUCT(('Rates &amp; Drop Downs INT'!$CG$6:$CG$747=$D92)*('Rates &amp; Drop Downs INT'!$CI$6:$CI$747=$F92)*('Rates &amp; Drop Downs INT'!$CK$6:$CK$747=$K92)*('Rates &amp; Drop Downs INT'!$CM$6:$CM$747)))</f>
        <v>0</v>
      </c>
      <c r="O92" s="1694"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95"/>
      <c r="Q92" s="1695"/>
      <c r="R92" s="1695"/>
      <c r="S92" s="1696"/>
      <c r="T92" s="1697"/>
      <c r="U92" s="1698"/>
      <c r="V92" s="1222" t="str">
        <f>IFERROR(IF(ISBLANK(K92)," ",_xlfn.XLOOKUP(K92,'Rates &amp; Drop Downs INT'!C:C,'Rates &amp; Drop Downs INT'!J:J)),N92)</f>
        <v xml:space="preserve"> </v>
      </c>
      <c r="W92" s="1203" t="str">
        <f t="shared" si="0"/>
        <v xml:space="preserve"> </v>
      </c>
      <c r="X92" s="1203"/>
      <c r="Y92" s="880" t="s">
        <v>2271</v>
      </c>
      <c r="Z92" s="1187"/>
      <c r="AA92" s="1190"/>
      <c r="AB92" s="1274"/>
      <c r="AC92" s="1666"/>
      <c r="AD92" s="1667"/>
      <c r="AE92" s="881"/>
      <c r="AF92" s="892"/>
      <c r="AH92" s="1725"/>
      <c r="AI92" s="1725"/>
      <c r="AJ92" s="413"/>
      <c r="AK92" s="413"/>
      <c r="AL92" s="413"/>
      <c r="AM92" s="413"/>
      <c r="CM92" s="425"/>
    </row>
    <row r="93" spans="3:91" ht="16.05" customHeight="1" outlineLevel="1" x14ac:dyDescent="0.25">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7"/>
      <c r="L93" s="1688"/>
      <c r="M93" s="1689"/>
      <c r="N93" s="1190" cm="1">
        <f t="array" ref="N93">IF($E$20="Credera US",V93,SUMPRODUCT(('Rates &amp; Drop Downs INT'!$CG$6:$CG$747=$D93)*('Rates &amp; Drop Downs INT'!$CI$6:$CI$747=$F93)*('Rates &amp; Drop Downs INT'!$CK$6:$CK$747=$K93)*('Rates &amp; Drop Downs INT'!$CM$6:$CM$747)))</f>
        <v>0</v>
      </c>
      <c r="O93" s="1694"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95"/>
      <c r="Q93" s="1695"/>
      <c r="R93" s="1695"/>
      <c r="S93" s="1696"/>
      <c r="T93" s="1697"/>
      <c r="U93" s="1698"/>
      <c r="V93" s="1222" t="str">
        <f>IFERROR(IF(ISBLANK(K93)," ",_xlfn.XLOOKUP(K93,'Rates &amp; Drop Downs INT'!C:C,'Rates &amp; Drop Downs INT'!J:J)),N93)</f>
        <v xml:space="preserve"> </v>
      </c>
      <c r="W93" s="1203" t="str">
        <f t="shared" si="0"/>
        <v xml:space="preserve"> </v>
      </c>
      <c r="X93" s="1203"/>
      <c r="Y93" s="880" t="s">
        <v>2271</v>
      </c>
      <c r="Z93" s="1187"/>
      <c r="AA93" s="1190"/>
      <c r="AB93" s="1274"/>
      <c r="AC93" s="1666"/>
      <c r="AD93" s="1667"/>
      <c r="AE93" s="881"/>
      <c r="AF93" s="892"/>
      <c r="AH93" s="1725"/>
      <c r="AI93" s="1725"/>
      <c r="AJ93" s="413"/>
      <c r="AK93" s="413"/>
      <c r="AL93" s="413"/>
      <c r="AM93" s="413"/>
      <c r="CM93" s="425"/>
    </row>
    <row r="94" spans="3:91" ht="16.05" customHeight="1" outlineLevel="1" x14ac:dyDescent="0.25">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7"/>
      <c r="L94" s="1688"/>
      <c r="M94" s="1689"/>
      <c r="N94" s="1190" cm="1">
        <f t="array" ref="N94">IF($E$20="Credera US",V94,SUMPRODUCT(('Rates &amp; Drop Downs INT'!$CG$6:$CG$747=$D94)*('Rates &amp; Drop Downs INT'!$CI$6:$CI$747=$F94)*('Rates &amp; Drop Downs INT'!$CK$6:$CK$747=$K94)*('Rates &amp; Drop Downs INT'!$CM$6:$CM$747)))</f>
        <v>0</v>
      </c>
      <c r="O94" s="1694"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95"/>
      <c r="Q94" s="1695"/>
      <c r="R94" s="1695"/>
      <c r="S94" s="1696"/>
      <c r="T94" s="1697"/>
      <c r="U94" s="1698"/>
      <c r="V94" s="1222" t="str">
        <f>IFERROR(IF(ISBLANK(K94)," ",_xlfn.XLOOKUP(K94,'Rates &amp; Drop Downs INT'!C:C,'Rates &amp; Drop Downs INT'!J:J)),N94)</f>
        <v xml:space="preserve"> </v>
      </c>
      <c r="W94" s="1203" t="str">
        <f t="shared" si="0"/>
        <v xml:space="preserve"> </v>
      </c>
      <c r="X94" s="1203"/>
      <c r="Y94" s="880" t="s">
        <v>2271</v>
      </c>
      <c r="Z94" s="1187"/>
      <c r="AA94" s="1190"/>
      <c r="AB94" s="1274"/>
      <c r="AC94" s="1666"/>
      <c r="AD94" s="1667"/>
      <c r="AE94" s="881"/>
      <c r="AF94" s="892"/>
      <c r="AH94" s="1725"/>
      <c r="AI94" s="1725"/>
      <c r="AJ94" s="413"/>
      <c r="AK94" s="413"/>
      <c r="AL94" s="413"/>
      <c r="AM94" s="413"/>
      <c r="CM94" s="425"/>
    </row>
    <row r="95" spans="3:91" ht="16.05" customHeight="1" outlineLevel="1" x14ac:dyDescent="0.25">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7"/>
      <c r="L95" s="1688"/>
      <c r="M95" s="1689"/>
      <c r="N95" s="1190" cm="1">
        <f t="array" ref="N95">IF($E$20="Credera US",V95,SUMPRODUCT(('Rates &amp; Drop Downs INT'!$CG$6:$CG$747=$D95)*('Rates &amp; Drop Downs INT'!$CI$6:$CI$747=$F95)*('Rates &amp; Drop Downs INT'!$CK$6:$CK$747=$K95)*('Rates &amp; Drop Downs INT'!$CM$6:$CM$747)))</f>
        <v>0</v>
      </c>
      <c r="O95" s="1694"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95"/>
      <c r="Q95" s="1695"/>
      <c r="R95" s="1695"/>
      <c r="S95" s="1696"/>
      <c r="T95" s="1697"/>
      <c r="U95" s="1698"/>
      <c r="V95" s="1222" t="str">
        <f>IFERROR(IF(ISBLANK(K95)," ",_xlfn.XLOOKUP(K95,'Rates &amp; Drop Downs INT'!C:C,'Rates &amp; Drop Downs INT'!J:J)),N95)</f>
        <v xml:space="preserve"> </v>
      </c>
      <c r="W95" s="1203" t="str">
        <f t="shared" si="0"/>
        <v xml:space="preserve"> </v>
      </c>
      <c r="X95" s="1203"/>
      <c r="Y95" s="880" t="s">
        <v>2271</v>
      </c>
      <c r="Z95" s="1187"/>
      <c r="AA95" s="1190"/>
      <c r="AB95" s="1274"/>
      <c r="AC95" s="1666"/>
      <c r="AD95" s="1667"/>
      <c r="AE95" s="881"/>
      <c r="AF95" s="892"/>
      <c r="AH95" s="1725"/>
      <c r="AI95" s="1725"/>
      <c r="AJ95" s="413"/>
      <c r="AK95" s="413"/>
      <c r="AL95" s="413"/>
      <c r="AM95" s="413"/>
      <c r="CM95" s="425"/>
    </row>
    <row r="96" spans="3:91" ht="16.05" customHeight="1" outlineLevel="1" x14ac:dyDescent="0.25">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7"/>
      <c r="L96" s="1688"/>
      <c r="M96" s="1689"/>
      <c r="N96" s="1190" cm="1">
        <f t="array" ref="N96">IF($E$20="Credera US",V96,SUMPRODUCT(('Rates &amp; Drop Downs INT'!$CG$6:$CG$747=$D96)*('Rates &amp; Drop Downs INT'!$CI$6:$CI$747=$F96)*('Rates &amp; Drop Downs INT'!$CK$6:$CK$747=$K96)*('Rates &amp; Drop Downs INT'!$CM$6:$CM$747)))</f>
        <v>0</v>
      </c>
      <c r="O96" s="1694"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95"/>
      <c r="Q96" s="1695"/>
      <c r="R96" s="1695"/>
      <c r="S96" s="1696"/>
      <c r="T96" s="1697"/>
      <c r="U96" s="1698"/>
      <c r="V96" s="1222" t="str">
        <f>IFERROR(IF(ISBLANK(K96)," ",_xlfn.XLOOKUP(K96,'Rates &amp; Drop Downs INT'!C:C,'Rates &amp; Drop Downs INT'!J:J)),N96)</f>
        <v xml:space="preserve"> </v>
      </c>
      <c r="W96" s="1203" t="str">
        <f t="shared" si="0"/>
        <v xml:space="preserve"> </v>
      </c>
      <c r="X96" s="1203"/>
      <c r="Y96" s="880" t="s">
        <v>2271</v>
      </c>
      <c r="Z96" s="1187"/>
      <c r="AA96" s="1190"/>
      <c r="AB96" s="1274"/>
      <c r="AC96" s="1666"/>
      <c r="AD96" s="1667"/>
      <c r="AE96" s="881"/>
      <c r="AF96" s="892"/>
      <c r="AH96" s="1725"/>
      <c r="AI96" s="1725"/>
      <c r="AJ96" s="413"/>
      <c r="AK96" s="413"/>
      <c r="AL96" s="413"/>
      <c r="AM96" s="413"/>
      <c r="CM96" s="425"/>
    </row>
    <row r="97" spans="3:91" ht="16.05" customHeight="1" outlineLevel="1" x14ac:dyDescent="0.25">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7"/>
      <c r="L97" s="1688"/>
      <c r="M97" s="1689"/>
      <c r="N97" s="1190" cm="1">
        <f t="array" ref="N97">IF($E$20="Credera US",V97,SUMPRODUCT(('Rates &amp; Drop Downs INT'!$CG$6:$CG$747=$D97)*('Rates &amp; Drop Downs INT'!$CI$6:$CI$747=$F97)*('Rates &amp; Drop Downs INT'!$CK$6:$CK$747=$K97)*('Rates &amp; Drop Downs INT'!$CM$6:$CM$747)))</f>
        <v>0</v>
      </c>
      <c r="O97" s="1694"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95"/>
      <c r="Q97" s="1695"/>
      <c r="R97" s="1695"/>
      <c r="S97" s="1696"/>
      <c r="T97" s="1697"/>
      <c r="U97" s="1698"/>
      <c r="V97" s="1222" t="str">
        <f>IFERROR(IF(ISBLANK(K97)," ",_xlfn.XLOOKUP(K97,'Rates &amp; Drop Downs INT'!C:C,'Rates &amp; Drop Downs INT'!J:J)),N97)</f>
        <v xml:space="preserve"> </v>
      </c>
      <c r="W97" s="1203" t="str">
        <f t="shared" si="0"/>
        <v xml:space="preserve"> </v>
      </c>
      <c r="X97" s="1203"/>
      <c r="Y97" s="880" t="s">
        <v>2271</v>
      </c>
      <c r="Z97" s="1187"/>
      <c r="AA97" s="1190"/>
      <c r="AB97" s="1274"/>
      <c r="AC97" s="1666"/>
      <c r="AD97" s="1667"/>
      <c r="AE97" s="881"/>
      <c r="AF97" s="892"/>
      <c r="AH97" s="1725"/>
      <c r="AI97" s="1725"/>
      <c r="AJ97" s="413"/>
      <c r="AK97" s="413"/>
      <c r="AL97" s="413"/>
      <c r="AM97" s="413"/>
      <c r="CM97" s="425"/>
    </row>
    <row r="98" spans="3:91" ht="16.05" customHeight="1" x14ac:dyDescent="0.25">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7"/>
      <c r="L98" s="1688"/>
      <c r="M98" s="1689"/>
      <c r="N98" s="1190" cm="1">
        <f t="array" ref="N98">IF($E$20="Credera US",V98,SUMPRODUCT(('Rates &amp; Drop Downs INT'!$CG$6:$CG$747=$D98)*('Rates &amp; Drop Downs INT'!$CI$6:$CI$747=$F98)*('Rates &amp; Drop Downs INT'!$CK$6:$CK$747=$K98)*('Rates &amp; Drop Downs INT'!$CM$6:$CM$747)))</f>
        <v>0</v>
      </c>
      <c r="O98" s="1694"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95"/>
      <c r="Q98" s="1695"/>
      <c r="R98" s="1695"/>
      <c r="S98" s="1696"/>
      <c r="T98" s="1697"/>
      <c r="U98" s="1698"/>
      <c r="V98" s="1222" t="str">
        <f>IFERROR(IF(ISBLANK(K98)," ",_xlfn.XLOOKUP(K98,'Rates &amp; Drop Downs INT'!C:C,'Rates &amp; Drop Downs INT'!J:J)),N98)</f>
        <v xml:space="preserve"> </v>
      </c>
      <c r="W98" s="1203" t="str">
        <f t="shared" si="0"/>
        <v xml:space="preserve"> </v>
      </c>
      <c r="X98" s="1203"/>
      <c r="Y98" s="880" t="s">
        <v>2271</v>
      </c>
      <c r="Z98" s="1187"/>
      <c r="AA98" s="1190"/>
      <c r="AB98" s="1274"/>
      <c r="AC98" s="1666"/>
      <c r="AD98" s="1667"/>
      <c r="AE98" s="881"/>
      <c r="AF98" s="892"/>
      <c r="AH98" s="1725"/>
      <c r="AI98" s="1725"/>
      <c r="AJ98" s="413"/>
      <c r="AK98" s="413"/>
      <c r="AL98" s="413"/>
      <c r="AM98" s="413"/>
      <c r="CM98" s="425"/>
    </row>
    <row r="99" spans="3:91" outlineLevel="2" x14ac:dyDescent="0.25">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7"/>
      <c r="L99" s="1688"/>
      <c r="M99" s="1689"/>
      <c r="N99" s="1189" cm="1">
        <f t="array" ref="N99">IF($E$20="Credera US",V99,SUMPRODUCT(('Rates &amp; Drop Downs INT'!$CG$6:$CG$747=$D99)*('Rates &amp; Drop Downs INT'!$CI$6:$CI$747=$F99)*('Rates &amp; Drop Downs INT'!$CK$6:$CK$747=$K99)*('Rates &amp; Drop Downs INT'!$CM$6:$CM$747)))</f>
        <v>0</v>
      </c>
      <c r="O99" s="1694"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95"/>
      <c r="Q99" s="1695"/>
      <c r="R99" s="1695"/>
      <c r="S99" s="1696"/>
      <c r="T99" s="1692"/>
      <c r="U99" s="169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66"/>
      <c r="AD99" s="1667"/>
      <c r="AE99" s="881"/>
      <c r="AF99" s="892"/>
      <c r="AH99" s="1725"/>
      <c r="AI99" s="1725"/>
      <c r="AJ99" s="413"/>
      <c r="AK99" s="413"/>
      <c r="AL99" s="413"/>
      <c r="AM99" s="413"/>
      <c r="CM99" s="425"/>
    </row>
    <row r="100" spans="3:91" outlineLevel="2" x14ac:dyDescent="0.25">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7"/>
      <c r="L100" s="1688"/>
      <c r="M100" s="1689"/>
      <c r="N100" s="1189" cm="1">
        <f t="array" ref="N100">IF($E$20="Credera US",V100,SUMPRODUCT(('Rates &amp; Drop Downs INT'!$CG$6:$CG$747=$D100)*('Rates &amp; Drop Downs INT'!$CI$6:$CI$747=$F100)*('Rates &amp; Drop Downs INT'!$CK$6:$CK$747=$K100)*('Rates &amp; Drop Downs INT'!$CM$6:$CM$747)))</f>
        <v>0</v>
      </c>
      <c r="O100" s="1694"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95"/>
      <c r="Q100" s="1695"/>
      <c r="R100" s="1695"/>
      <c r="S100" s="1696"/>
      <c r="T100" s="1692"/>
      <c r="U100" s="169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66"/>
      <c r="AD100" s="1667"/>
      <c r="AE100" s="881"/>
      <c r="AF100" s="892"/>
      <c r="AH100" s="1725"/>
      <c r="AI100" s="1725"/>
      <c r="AJ100" s="413"/>
      <c r="AK100" s="413"/>
      <c r="AL100" s="413"/>
      <c r="AM100" s="413"/>
      <c r="CM100" s="425"/>
    </row>
    <row r="101" spans="3:91" outlineLevel="2" x14ac:dyDescent="0.25">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7"/>
      <c r="L101" s="1688"/>
      <c r="M101" s="1689"/>
      <c r="N101" s="1189" cm="1">
        <f t="array" ref="N101">IF($E$20="Credera US",V101,SUMPRODUCT(('Rates &amp; Drop Downs INT'!$CG$6:$CG$747=$D101)*('Rates &amp; Drop Downs INT'!$CI$6:$CI$747=$F101)*('Rates &amp; Drop Downs INT'!$CK$6:$CK$747=$K101)*('Rates &amp; Drop Downs INT'!$CM$6:$CM$747)))</f>
        <v>0</v>
      </c>
      <c r="O101" s="1694"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95"/>
      <c r="Q101" s="1695"/>
      <c r="R101" s="1695"/>
      <c r="S101" s="1696"/>
      <c r="T101" s="1692"/>
      <c r="U101" s="169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66"/>
      <c r="AD101" s="1667"/>
      <c r="AE101" s="881"/>
      <c r="AF101" s="892"/>
      <c r="AH101" s="1725"/>
      <c r="AI101" s="1725"/>
      <c r="AJ101" s="413"/>
      <c r="AK101" s="413"/>
      <c r="AL101" s="413"/>
      <c r="AM101" s="413"/>
      <c r="CM101" s="425"/>
    </row>
    <row r="102" spans="3:91" outlineLevel="2" x14ac:dyDescent="0.25">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7"/>
      <c r="L102" s="1688"/>
      <c r="M102" s="1689"/>
      <c r="N102" s="1189" cm="1">
        <f t="array" ref="N102">IF($E$20="Credera US",V102,SUMPRODUCT(('Rates &amp; Drop Downs INT'!$CG$6:$CG$747=$D102)*('Rates &amp; Drop Downs INT'!$CI$6:$CI$747=$F102)*('Rates &amp; Drop Downs INT'!$CK$6:$CK$747=$K102)*('Rates &amp; Drop Downs INT'!$CM$6:$CM$747)))</f>
        <v>0</v>
      </c>
      <c r="O102" s="1694"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95"/>
      <c r="Q102" s="1695"/>
      <c r="R102" s="1695"/>
      <c r="S102" s="1696"/>
      <c r="T102" s="1692"/>
      <c r="U102" s="169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66"/>
      <c r="AD102" s="1667"/>
      <c r="AE102" s="881"/>
      <c r="AF102" s="892"/>
      <c r="AH102" s="1725"/>
      <c r="AI102" s="1725"/>
      <c r="AJ102" s="413"/>
      <c r="AK102" s="413"/>
      <c r="AL102" s="413"/>
      <c r="AM102" s="413"/>
      <c r="CM102" s="425"/>
    </row>
    <row r="103" spans="3:91" outlineLevel="2" x14ac:dyDescent="0.25">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7"/>
      <c r="L103" s="1688"/>
      <c r="M103" s="1689"/>
      <c r="N103" s="1189" cm="1">
        <f t="array" ref="N103">IF($E$20="Credera US",V103,SUMPRODUCT(('Rates &amp; Drop Downs INT'!$CG$6:$CG$747=$D103)*('Rates &amp; Drop Downs INT'!$CI$6:$CI$747=$F103)*('Rates &amp; Drop Downs INT'!$CK$6:$CK$747=$K103)*('Rates &amp; Drop Downs INT'!$CM$6:$CM$747)))</f>
        <v>0</v>
      </c>
      <c r="O103" s="1694"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95"/>
      <c r="Q103" s="1695"/>
      <c r="R103" s="1695"/>
      <c r="S103" s="1696"/>
      <c r="T103" s="1692"/>
      <c r="U103" s="169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66"/>
      <c r="AD103" s="1667"/>
      <c r="AE103" s="881"/>
      <c r="AF103" s="892"/>
      <c r="AH103" s="1725"/>
      <c r="AI103" s="1725"/>
      <c r="AJ103" s="413"/>
      <c r="AK103" s="413"/>
      <c r="AL103" s="413"/>
      <c r="AM103" s="413"/>
      <c r="CM103" s="425"/>
    </row>
    <row r="104" spans="3:91" outlineLevel="2" x14ac:dyDescent="0.25">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7"/>
      <c r="L104" s="1688"/>
      <c r="M104" s="1689"/>
      <c r="N104" s="1189" cm="1">
        <f t="array" ref="N104">IF($E$20="Credera US",V104,SUMPRODUCT(('Rates &amp; Drop Downs INT'!$CG$6:$CG$747=$D104)*('Rates &amp; Drop Downs INT'!$CI$6:$CI$747=$F104)*('Rates &amp; Drop Downs INT'!$CK$6:$CK$747=$K104)*('Rates &amp; Drop Downs INT'!$CM$6:$CM$747)))</f>
        <v>0</v>
      </c>
      <c r="O104" s="1694"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95"/>
      <c r="Q104" s="1695"/>
      <c r="R104" s="1695"/>
      <c r="S104" s="1696"/>
      <c r="T104" s="1692"/>
      <c r="U104" s="169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66"/>
      <c r="AD104" s="1667"/>
      <c r="AE104" s="881"/>
      <c r="AF104" s="892"/>
      <c r="AH104" s="1725"/>
      <c r="AI104" s="1725"/>
      <c r="AJ104" s="413"/>
      <c r="AK104" s="413"/>
      <c r="AL104" s="413"/>
      <c r="AM104" s="413"/>
      <c r="CM104" s="425"/>
    </row>
    <row r="105" spans="3:91" outlineLevel="2" x14ac:dyDescent="0.25">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7"/>
      <c r="L105" s="1688"/>
      <c r="M105" s="1689"/>
      <c r="N105" s="1189" cm="1">
        <f t="array" ref="N105">IF($E$20="Credera US",V105,SUMPRODUCT(('Rates &amp; Drop Downs INT'!$CG$6:$CG$747=$D105)*('Rates &amp; Drop Downs INT'!$CI$6:$CI$747=$F105)*('Rates &amp; Drop Downs INT'!$CK$6:$CK$747=$K105)*('Rates &amp; Drop Downs INT'!$CM$6:$CM$747)))</f>
        <v>0</v>
      </c>
      <c r="O105" s="1694"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95"/>
      <c r="Q105" s="1695"/>
      <c r="R105" s="1695"/>
      <c r="S105" s="1696"/>
      <c r="T105" s="1692"/>
      <c r="U105" s="169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66"/>
      <c r="AD105" s="1667"/>
      <c r="AE105" s="881"/>
      <c r="AF105" s="892"/>
      <c r="AH105" s="1725"/>
      <c r="AI105" s="1725"/>
      <c r="AJ105" s="413"/>
      <c r="AK105" s="413"/>
      <c r="AL105" s="413"/>
      <c r="AM105" s="413"/>
      <c r="CM105" s="425"/>
    </row>
    <row r="106" spans="3:91" outlineLevel="2" x14ac:dyDescent="0.25">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7"/>
      <c r="L106" s="1688"/>
      <c r="M106" s="1689"/>
      <c r="N106" s="1189" cm="1">
        <f t="array" ref="N106">IF($E$20="Credera US",V106,SUMPRODUCT(('Rates &amp; Drop Downs INT'!$CG$6:$CG$747=$D106)*('Rates &amp; Drop Downs INT'!$CI$6:$CI$747=$F106)*('Rates &amp; Drop Downs INT'!$CK$6:$CK$747=$K106)*('Rates &amp; Drop Downs INT'!$CM$6:$CM$747)))</f>
        <v>0</v>
      </c>
      <c r="O106" s="1694"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95"/>
      <c r="Q106" s="1695"/>
      <c r="R106" s="1695"/>
      <c r="S106" s="1696"/>
      <c r="T106" s="1692"/>
      <c r="U106" s="169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66"/>
      <c r="AD106" s="1667"/>
      <c r="AE106" s="881"/>
      <c r="AF106" s="892"/>
      <c r="AH106" s="1725"/>
      <c r="AI106" s="1725"/>
      <c r="AJ106" s="413"/>
      <c r="AK106" s="413"/>
      <c r="AL106" s="413"/>
      <c r="AM106" s="413"/>
      <c r="CM106" s="425"/>
    </row>
    <row r="107" spans="3:91" outlineLevel="2" x14ac:dyDescent="0.25">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7"/>
      <c r="L107" s="1688"/>
      <c r="M107" s="1689"/>
      <c r="N107" s="1189" cm="1">
        <f t="array" ref="N107">IF($E$20="Credera US",V107,SUMPRODUCT(('Rates &amp; Drop Downs INT'!$CG$6:$CG$747=$D107)*('Rates &amp; Drop Downs INT'!$CI$6:$CI$747=$F107)*('Rates &amp; Drop Downs INT'!$CK$6:$CK$747=$K107)*('Rates &amp; Drop Downs INT'!$CM$6:$CM$747)))</f>
        <v>0</v>
      </c>
      <c r="O107" s="1694"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95"/>
      <c r="Q107" s="1695"/>
      <c r="R107" s="1695"/>
      <c r="S107" s="1696"/>
      <c r="T107" s="1692"/>
      <c r="U107" s="169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66"/>
      <c r="AD107" s="1667"/>
      <c r="AE107" s="881"/>
      <c r="AF107" s="892"/>
      <c r="AH107" s="1725"/>
      <c r="AI107" s="1725"/>
      <c r="AJ107" s="413"/>
      <c r="AK107" s="413"/>
      <c r="AL107" s="413"/>
      <c r="AM107" s="413"/>
      <c r="CM107" s="425"/>
    </row>
    <row r="108" spans="3:91" outlineLevel="2" x14ac:dyDescent="0.25">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7"/>
      <c r="L108" s="1688"/>
      <c r="M108" s="1689"/>
      <c r="N108" s="1189" cm="1">
        <f t="array" ref="N108">IF($E$20="Credera US",V108,SUMPRODUCT(('Rates &amp; Drop Downs INT'!$CG$6:$CG$747=$D108)*('Rates &amp; Drop Downs INT'!$CI$6:$CI$747=$F108)*('Rates &amp; Drop Downs INT'!$CK$6:$CK$747=$K108)*('Rates &amp; Drop Downs INT'!$CM$6:$CM$747)))</f>
        <v>0</v>
      </c>
      <c r="O108" s="1694"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95"/>
      <c r="Q108" s="1695"/>
      <c r="R108" s="1695"/>
      <c r="S108" s="1696"/>
      <c r="T108" s="1692"/>
      <c r="U108" s="169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66"/>
      <c r="AD108" s="1667"/>
      <c r="AE108" s="881"/>
      <c r="AF108" s="892"/>
      <c r="AH108" s="1725"/>
      <c r="AI108" s="1725"/>
      <c r="AJ108" s="413"/>
      <c r="AK108" s="413"/>
      <c r="AL108" s="413"/>
      <c r="AM108" s="413"/>
      <c r="CM108" s="425"/>
    </row>
    <row r="109" spans="3:91" outlineLevel="2" x14ac:dyDescent="0.25">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7"/>
      <c r="L109" s="1688"/>
      <c r="M109" s="1689"/>
      <c r="N109" s="1189" cm="1">
        <f t="array" ref="N109">IF($E$20="Credera US",V109,SUMPRODUCT(('Rates &amp; Drop Downs INT'!$CG$6:$CG$747=$D109)*('Rates &amp; Drop Downs INT'!$CI$6:$CI$747=$F109)*('Rates &amp; Drop Downs INT'!$CK$6:$CK$747=$K109)*('Rates &amp; Drop Downs INT'!$CM$6:$CM$747)))</f>
        <v>0</v>
      </c>
      <c r="O109" s="1694"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95"/>
      <c r="Q109" s="1695"/>
      <c r="R109" s="1695"/>
      <c r="S109" s="1696"/>
      <c r="T109" s="1692"/>
      <c r="U109" s="169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66"/>
      <c r="AD109" s="1667"/>
      <c r="AE109" s="881"/>
      <c r="AF109" s="892"/>
      <c r="AH109" s="1725"/>
      <c r="AI109" s="1725"/>
      <c r="AJ109" s="413"/>
      <c r="AK109" s="413"/>
      <c r="AL109" s="413"/>
      <c r="AM109" s="413"/>
      <c r="CM109" s="425"/>
    </row>
    <row r="110" spans="3:91" outlineLevel="2" x14ac:dyDescent="0.25">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7"/>
      <c r="L110" s="1688"/>
      <c r="M110" s="1689"/>
      <c r="N110" s="1189" cm="1">
        <f t="array" ref="N110">IF($E$20="Credera US",V110,SUMPRODUCT(('Rates &amp; Drop Downs INT'!$CG$6:$CG$747=$D110)*('Rates &amp; Drop Downs INT'!$CI$6:$CI$747=$F110)*('Rates &amp; Drop Downs INT'!$CK$6:$CK$747=$K110)*('Rates &amp; Drop Downs INT'!$CM$6:$CM$747)))</f>
        <v>0</v>
      </c>
      <c r="O110" s="1694"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95"/>
      <c r="Q110" s="1695"/>
      <c r="R110" s="1695"/>
      <c r="S110" s="1696"/>
      <c r="T110" s="1692"/>
      <c r="U110" s="169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66"/>
      <c r="AD110" s="1667"/>
      <c r="AE110" s="881"/>
      <c r="AF110" s="892"/>
      <c r="AH110" s="1725"/>
      <c r="AI110" s="1725"/>
      <c r="AJ110" s="413"/>
      <c r="AK110" s="413"/>
      <c r="AL110" s="413"/>
      <c r="AM110" s="413"/>
      <c r="CM110" s="425"/>
    </row>
    <row r="111" spans="3:91" outlineLevel="2" x14ac:dyDescent="0.25">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7"/>
      <c r="L111" s="1688"/>
      <c r="M111" s="1689"/>
      <c r="N111" s="1189" cm="1">
        <f t="array" ref="N111">IF($E$20="Credera US",V111,SUMPRODUCT(('Rates &amp; Drop Downs INT'!$CG$6:$CG$747=$D111)*('Rates &amp; Drop Downs INT'!$CI$6:$CI$747=$F111)*('Rates &amp; Drop Downs INT'!$CK$6:$CK$747=$K111)*('Rates &amp; Drop Downs INT'!$CM$6:$CM$747)))</f>
        <v>0</v>
      </c>
      <c r="O111" s="1694"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95"/>
      <c r="Q111" s="1695"/>
      <c r="R111" s="1695"/>
      <c r="S111" s="1696"/>
      <c r="T111" s="1692"/>
      <c r="U111" s="169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66"/>
      <c r="AD111" s="1667"/>
      <c r="AE111" s="881"/>
      <c r="AF111" s="892"/>
      <c r="AH111" s="1725"/>
      <c r="AI111" s="1725"/>
      <c r="AJ111" s="413"/>
      <c r="AK111" s="413"/>
      <c r="AL111" s="413"/>
      <c r="AM111" s="413"/>
      <c r="CM111" s="425"/>
    </row>
    <row r="112" spans="3:91" outlineLevel="2" x14ac:dyDescent="0.25">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7"/>
      <c r="L112" s="1688"/>
      <c r="M112" s="1689"/>
      <c r="N112" s="1189" cm="1">
        <f t="array" ref="N112">IF($E$20="Credera US",V112,SUMPRODUCT(('Rates &amp; Drop Downs INT'!$CG$6:$CG$747=$D112)*('Rates &amp; Drop Downs INT'!$CI$6:$CI$747=$F112)*('Rates &amp; Drop Downs INT'!$CK$6:$CK$747=$K112)*('Rates &amp; Drop Downs INT'!$CM$6:$CM$747)))</f>
        <v>0</v>
      </c>
      <c r="O112" s="1694"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95"/>
      <c r="Q112" s="1695"/>
      <c r="R112" s="1695"/>
      <c r="S112" s="1696"/>
      <c r="T112" s="1692"/>
      <c r="U112" s="169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66"/>
      <c r="AD112" s="1667"/>
      <c r="AE112" s="881"/>
      <c r="AF112" s="892"/>
      <c r="AH112" s="1725"/>
      <c r="AI112" s="1725"/>
      <c r="AJ112" s="413"/>
      <c r="AK112" s="413"/>
      <c r="AL112" s="413"/>
      <c r="AM112" s="413"/>
      <c r="CM112" s="425"/>
    </row>
    <row r="113" spans="3:91" outlineLevel="2" x14ac:dyDescent="0.25">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7"/>
      <c r="L113" s="1688"/>
      <c r="M113" s="1689"/>
      <c r="N113" s="1189" cm="1">
        <f t="array" ref="N113">IF($E$20="Credera US",V113,SUMPRODUCT(('Rates &amp; Drop Downs INT'!$CG$6:$CG$747=$D113)*('Rates &amp; Drop Downs INT'!$CI$6:$CI$747=$F113)*('Rates &amp; Drop Downs INT'!$CK$6:$CK$747=$K113)*('Rates &amp; Drop Downs INT'!$CM$6:$CM$747)))</f>
        <v>0</v>
      </c>
      <c r="O113" s="1694"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95"/>
      <c r="Q113" s="1695"/>
      <c r="R113" s="1695"/>
      <c r="S113" s="1696"/>
      <c r="T113" s="1692"/>
      <c r="U113" s="169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66"/>
      <c r="AD113" s="1667"/>
      <c r="AE113" s="881"/>
      <c r="AF113" s="892"/>
      <c r="AH113" s="1725"/>
      <c r="AI113" s="1725"/>
      <c r="AJ113" s="413"/>
      <c r="AK113" s="413"/>
      <c r="AL113" s="413"/>
      <c r="AM113" s="413"/>
      <c r="CM113" s="425"/>
    </row>
    <row r="114" spans="3:91" outlineLevel="2" x14ac:dyDescent="0.25">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7"/>
      <c r="L114" s="1688"/>
      <c r="M114" s="1689"/>
      <c r="N114" s="1189" cm="1">
        <f t="array" ref="N114">IF($E$20="Credera US",V114,SUMPRODUCT(('Rates &amp; Drop Downs INT'!$CG$6:$CG$747=$D114)*('Rates &amp; Drop Downs INT'!$CI$6:$CI$747=$F114)*('Rates &amp; Drop Downs INT'!$CK$6:$CK$747=$K114)*('Rates &amp; Drop Downs INT'!$CM$6:$CM$747)))</f>
        <v>0</v>
      </c>
      <c r="O114" s="1694"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95"/>
      <c r="Q114" s="1695"/>
      <c r="R114" s="1695"/>
      <c r="S114" s="1696"/>
      <c r="T114" s="1692"/>
      <c r="U114" s="169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66"/>
      <c r="AD114" s="1667"/>
      <c r="AE114" s="881"/>
      <c r="AF114" s="892"/>
      <c r="AH114" s="1725"/>
      <c r="AI114" s="1725"/>
      <c r="AJ114" s="413"/>
      <c r="AK114" s="413"/>
      <c r="AL114" s="413"/>
      <c r="AM114" s="413"/>
      <c r="CM114" s="425"/>
    </row>
    <row r="115" spans="3:91" outlineLevel="2" x14ac:dyDescent="0.25">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7"/>
      <c r="L115" s="1688"/>
      <c r="M115" s="1689"/>
      <c r="N115" s="1189" cm="1">
        <f t="array" ref="N115">IF($E$20="Credera US",V115,SUMPRODUCT(('Rates &amp; Drop Downs INT'!$CG$6:$CG$747=$D115)*('Rates &amp; Drop Downs INT'!$CI$6:$CI$747=$F115)*('Rates &amp; Drop Downs INT'!$CK$6:$CK$747=$K115)*('Rates &amp; Drop Downs INT'!$CM$6:$CM$747)))</f>
        <v>0</v>
      </c>
      <c r="O115" s="1694"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95"/>
      <c r="Q115" s="1695"/>
      <c r="R115" s="1695"/>
      <c r="S115" s="1696"/>
      <c r="T115" s="1692"/>
      <c r="U115" s="169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66"/>
      <c r="AD115" s="1667"/>
      <c r="AE115" s="881"/>
      <c r="AF115" s="892"/>
      <c r="AH115" s="1725"/>
      <c r="AI115" s="1725"/>
      <c r="AJ115" s="413"/>
      <c r="AK115" s="413"/>
      <c r="AL115" s="413"/>
      <c r="AM115" s="413"/>
      <c r="CM115" s="425"/>
    </row>
    <row r="116" spans="3:91" outlineLevel="2" x14ac:dyDescent="0.25">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7"/>
      <c r="L116" s="1688"/>
      <c r="M116" s="1689"/>
      <c r="N116" s="1189" cm="1">
        <f t="array" ref="N116">IF($E$20="Credera US",V116,SUMPRODUCT(('Rates &amp; Drop Downs INT'!$CG$6:$CG$747=$D116)*('Rates &amp; Drop Downs INT'!$CI$6:$CI$747=$F116)*('Rates &amp; Drop Downs INT'!$CK$6:$CK$747=$K116)*('Rates &amp; Drop Downs INT'!$CM$6:$CM$747)))</f>
        <v>0</v>
      </c>
      <c r="O116" s="1694"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95"/>
      <c r="Q116" s="1695"/>
      <c r="R116" s="1695"/>
      <c r="S116" s="1696"/>
      <c r="T116" s="1692"/>
      <c r="U116" s="169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66"/>
      <c r="AD116" s="1667"/>
      <c r="AE116" s="881"/>
      <c r="AF116" s="892"/>
      <c r="AH116" s="1725"/>
      <c r="AI116" s="1725"/>
      <c r="AJ116" s="413"/>
      <c r="AK116" s="413"/>
      <c r="AL116" s="413"/>
      <c r="AM116" s="413"/>
      <c r="CM116" s="425"/>
    </row>
    <row r="117" spans="3:91" outlineLevel="2" x14ac:dyDescent="0.25">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7"/>
      <c r="L117" s="1688"/>
      <c r="M117" s="1689"/>
      <c r="N117" s="1189" cm="1">
        <f t="array" ref="N117">IF($E$20="Credera US",V117,SUMPRODUCT(('Rates &amp; Drop Downs INT'!$CG$6:$CG$747=$D117)*('Rates &amp; Drop Downs INT'!$CI$6:$CI$747=$F117)*('Rates &amp; Drop Downs INT'!$CK$6:$CK$747=$K117)*('Rates &amp; Drop Downs INT'!$CM$6:$CM$747)))</f>
        <v>0</v>
      </c>
      <c r="O117" s="1694"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95"/>
      <c r="Q117" s="1695"/>
      <c r="R117" s="1695"/>
      <c r="S117" s="1696"/>
      <c r="T117" s="1692"/>
      <c r="U117" s="169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66"/>
      <c r="AD117" s="1667"/>
      <c r="AE117" s="881"/>
      <c r="AF117" s="892"/>
      <c r="AH117" s="1725"/>
      <c r="AI117" s="1725"/>
      <c r="AJ117" s="413"/>
      <c r="AK117" s="413"/>
      <c r="AL117" s="413"/>
      <c r="AM117" s="413"/>
      <c r="CM117" s="425"/>
    </row>
    <row r="118" spans="3:91" outlineLevel="2" x14ac:dyDescent="0.25">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7"/>
      <c r="L118" s="1688"/>
      <c r="M118" s="1689"/>
      <c r="N118" s="1189" cm="1">
        <f t="array" ref="N118">IF($E$20="Credera US",V118,SUMPRODUCT(('Rates &amp; Drop Downs INT'!$CG$6:$CG$747=$D118)*('Rates &amp; Drop Downs INT'!$CI$6:$CI$747=$F118)*('Rates &amp; Drop Downs INT'!$CK$6:$CK$747=$K118)*('Rates &amp; Drop Downs INT'!$CM$6:$CM$747)))</f>
        <v>0</v>
      </c>
      <c r="O118" s="1694"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95"/>
      <c r="Q118" s="1695"/>
      <c r="R118" s="1695"/>
      <c r="S118" s="1696"/>
      <c r="T118" s="1692"/>
      <c r="U118" s="169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66"/>
      <c r="AD118" s="1667"/>
      <c r="AE118" s="881"/>
      <c r="AF118" s="892"/>
      <c r="AH118" s="1725"/>
      <c r="AI118" s="1725"/>
      <c r="AJ118" s="413"/>
      <c r="AK118" s="413"/>
      <c r="AL118" s="413"/>
      <c r="AM118" s="413"/>
      <c r="CM118" s="425"/>
    </row>
    <row r="119" spans="3:91" outlineLevel="2" x14ac:dyDescent="0.25">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7"/>
      <c r="L119" s="1688"/>
      <c r="M119" s="1689"/>
      <c r="N119" s="1189" cm="1">
        <f t="array" ref="N119">IF($E$20="Credera US",V119,SUMPRODUCT(('Rates &amp; Drop Downs INT'!$CG$6:$CG$747=$D119)*('Rates &amp; Drop Downs INT'!$CI$6:$CI$747=$F119)*('Rates &amp; Drop Downs INT'!$CK$6:$CK$747=$K119)*('Rates &amp; Drop Downs INT'!$CM$6:$CM$747)))</f>
        <v>0</v>
      </c>
      <c r="O119" s="1694"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95"/>
      <c r="Q119" s="1695"/>
      <c r="R119" s="1695"/>
      <c r="S119" s="1696"/>
      <c r="T119" s="1692"/>
      <c r="U119" s="169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66"/>
      <c r="AD119" s="1667"/>
      <c r="AE119" s="881"/>
      <c r="AF119" s="892"/>
      <c r="AH119" s="1725"/>
      <c r="AI119" s="1725"/>
      <c r="AJ119" s="413"/>
      <c r="AK119" s="413"/>
      <c r="AL119" s="413"/>
      <c r="AM119" s="413"/>
      <c r="CM119" s="425"/>
    </row>
    <row r="120" spans="3:91" outlineLevel="2" x14ac:dyDescent="0.25">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7"/>
      <c r="L120" s="1688"/>
      <c r="M120" s="1689"/>
      <c r="N120" s="1189" cm="1">
        <f t="array" ref="N120">IF($E$20="Credera US",V120,SUMPRODUCT(('Rates &amp; Drop Downs INT'!$CG$6:$CG$747=$D120)*('Rates &amp; Drop Downs INT'!$CI$6:$CI$747=$F120)*('Rates &amp; Drop Downs INT'!$CK$6:$CK$747=$K120)*('Rates &amp; Drop Downs INT'!$CM$6:$CM$747)))</f>
        <v>0</v>
      </c>
      <c r="O120" s="1694"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95"/>
      <c r="Q120" s="1695"/>
      <c r="R120" s="1695"/>
      <c r="S120" s="1696"/>
      <c r="T120" s="1692"/>
      <c r="U120" s="169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66"/>
      <c r="AD120" s="1667"/>
      <c r="AE120" s="881"/>
      <c r="AF120" s="892"/>
      <c r="AH120" s="1725"/>
      <c r="AI120" s="1725"/>
      <c r="AJ120" s="413"/>
      <c r="AK120" s="413"/>
      <c r="AL120" s="413"/>
      <c r="AM120" s="413"/>
      <c r="CM120" s="425"/>
    </row>
    <row r="121" spans="3:91" outlineLevel="2" x14ac:dyDescent="0.25">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7"/>
      <c r="L121" s="1688"/>
      <c r="M121" s="1689"/>
      <c r="N121" s="1189" cm="1">
        <f t="array" ref="N121">IF($E$20="Credera US",V121,SUMPRODUCT(('Rates &amp; Drop Downs INT'!$CG$6:$CG$747=$D121)*('Rates &amp; Drop Downs INT'!$CI$6:$CI$747=$F121)*('Rates &amp; Drop Downs INT'!$CK$6:$CK$747=$K121)*('Rates &amp; Drop Downs INT'!$CM$6:$CM$747)))</f>
        <v>0</v>
      </c>
      <c r="O121" s="1694"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95"/>
      <c r="Q121" s="1695"/>
      <c r="R121" s="1695"/>
      <c r="S121" s="1696"/>
      <c r="T121" s="1692"/>
      <c r="U121" s="169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66"/>
      <c r="AD121" s="1667"/>
      <c r="AE121" s="881"/>
      <c r="AF121" s="892"/>
      <c r="AH121" s="1725"/>
      <c r="AI121" s="1725"/>
      <c r="AJ121" s="413"/>
      <c r="AK121" s="413"/>
      <c r="AL121" s="413"/>
      <c r="AM121" s="413"/>
      <c r="CM121" s="425"/>
    </row>
    <row r="122" spans="3:91" outlineLevel="2" x14ac:dyDescent="0.25">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7"/>
      <c r="L122" s="1688"/>
      <c r="M122" s="1689"/>
      <c r="N122" s="1189" cm="1">
        <f t="array" ref="N122">IF($E$20="Credera US",V122,SUMPRODUCT(('Rates &amp; Drop Downs INT'!$CG$6:$CG$747=$D122)*('Rates &amp; Drop Downs INT'!$CI$6:$CI$747=$F122)*('Rates &amp; Drop Downs INT'!$CK$6:$CK$747=$K122)*('Rates &amp; Drop Downs INT'!$CM$6:$CM$747)))</f>
        <v>0</v>
      </c>
      <c r="O122" s="1694"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95"/>
      <c r="Q122" s="1695"/>
      <c r="R122" s="1695"/>
      <c r="S122" s="1696"/>
      <c r="T122" s="1692"/>
      <c r="U122" s="169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66"/>
      <c r="AD122" s="1667"/>
      <c r="AE122" s="881"/>
      <c r="AF122" s="892"/>
      <c r="AH122" s="1725"/>
      <c r="AI122" s="1725"/>
      <c r="AJ122" s="413"/>
      <c r="AK122" s="413"/>
      <c r="AL122" s="413"/>
      <c r="AM122" s="413"/>
      <c r="CM122" s="425"/>
    </row>
    <row r="123" spans="3:91" outlineLevel="3" x14ac:dyDescent="0.25">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7"/>
      <c r="L123" s="1688"/>
      <c r="M123" s="1689"/>
      <c r="N123" s="1189" cm="1">
        <f t="array" ref="N123">IF($E$20="Credera US",V123,SUMPRODUCT(('Rates &amp; Drop Downs INT'!$CG$6:$CG$747=$D123)*('Rates &amp; Drop Downs INT'!$CI$6:$CI$747=$F123)*('Rates &amp; Drop Downs INT'!$CK$6:$CK$747=$K123)*('Rates &amp; Drop Downs INT'!$CM$6:$CM$747)))</f>
        <v>0</v>
      </c>
      <c r="O123" s="1694"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95"/>
      <c r="Q123" s="1695"/>
      <c r="R123" s="1695"/>
      <c r="S123" s="1696"/>
      <c r="T123" s="1692"/>
      <c r="U123" s="169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66"/>
      <c r="AD123" s="1667"/>
      <c r="AE123" s="881"/>
      <c r="AF123" s="892"/>
      <c r="AH123" s="1725"/>
      <c r="AI123" s="1725"/>
      <c r="AJ123" s="413"/>
      <c r="AK123" s="413"/>
      <c r="AL123" s="413"/>
      <c r="AM123" s="413"/>
      <c r="CM123" s="425"/>
    </row>
    <row r="124" spans="3:91" outlineLevel="3" x14ac:dyDescent="0.25">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7"/>
      <c r="L124" s="1688"/>
      <c r="M124" s="1689"/>
      <c r="N124" s="1189" cm="1">
        <f t="array" ref="N124">IF($E$20="Credera US",V124,SUMPRODUCT(('Rates &amp; Drop Downs INT'!$CG$6:$CG$747=$D124)*('Rates &amp; Drop Downs INT'!$CI$6:$CI$747=$F124)*('Rates &amp; Drop Downs INT'!$CK$6:$CK$747=$K124)*('Rates &amp; Drop Downs INT'!$CM$6:$CM$747)))</f>
        <v>0</v>
      </c>
      <c r="O124" s="1694"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95"/>
      <c r="Q124" s="1695"/>
      <c r="R124" s="1695"/>
      <c r="S124" s="1696"/>
      <c r="T124" s="1692"/>
      <c r="U124" s="169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66"/>
      <c r="AD124" s="1667"/>
      <c r="AE124" s="881"/>
      <c r="AF124" s="892"/>
      <c r="AH124" s="1725"/>
      <c r="AI124" s="1725"/>
      <c r="AJ124" s="413"/>
      <c r="AK124" s="413"/>
      <c r="AL124" s="413"/>
      <c r="AM124" s="413"/>
      <c r="CM124" s="425"/>
    </row>
    <row r="125" spans="3:91" outlineLevel="3" x14ac:dyDescent="0.25">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7"/>
      <c r="L125" s="1688"/>
      <c r="M125" s="1689"/>
      <c r="N125" s="1189" cm="1">
        <f t="array" ref="N125">IF($E$20="Credera US",V125,SUMPRODUCT(('Rates &amp; Drop Downs INT'!$CG$6:$CG$747=$D125)*('Rates &amp; Drop Downs INT'!$CI$6:$CI$747=$F125)*('Rates &amp; Drop Downs INT'!$CK$6:$CK$747=$K125)*('Rates &amp; Drop Downs INT'!$CM$6:$CM$747)))</f>
        <v>0</v>
      </c>
      <c r="O125" s="1694"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95"/>
      <c r="Q125" s="1695"/>
      <c r="R125" s="1695"/>
      <c r="S125" s="1696"/>
      <c r="T125" s="1692"/>
      <c r="U125" s="169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66"/>
      <c r="AD125" s="1667"/>
      <c r="AE125" s="881"/>
      <c r="AF125" s="892"/>
      <c r="AH125" s="1725"/>
      <c r="AI125" s="1725"/>
      <c r="AJ125" s="413"/>
      <c r="AK125" s="413"/>
      <c r="AL125" s="413"/>
      <c r="AM125" s="413"/>
      <c r="CM125" s="425"/>
    </row>
    <row r="126" spans="3:91" outlineLevel="3" x14ac:dyDescent="0.25">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7"/>
      <c r="L126" s="1688"/>
      <c r="M126" s="1689"/>
      <c r="N126" s="1189" cm="1">
        <f t="array" ref="N126">IF($E$20="Credera US",V126,SUMPRODUCT(('Rates &amp; Drop Downs INT'!$CG$6:$CG$747=$D126)*('Rates &amp; Drop Downs INT'!$CI$6:$CI$747=$F126)*('Rates &amp; Drop Downs INT'!$CK$6:$CK$747=$K126)*('Rates &amp; Drop Downs INT'!$CM$6:$CM$747)))</f>
        <v>0</v>
      </c>
      <c r="O126" s="1694"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95"/>
      <c r="Q126" s="1695"/>
      <c r="R126" s="1695"/>
      <c r="S126" s="1696"/>
      <c r="T126" s="1692"/>
      <c r="U126" s="169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66"/>
      <c r="AD126" s="1667"/>
      <c r="AE126" s="881"/>
      <c r="AF126" s="892"/>
      <c r="AH126" s="1725"/>
      <c r="AI126" s="1725"/>
      <c r="AJ126" s="413"/>
      <c r="AK126" s="413"/>
      <c r="AL126" s="413"/>
      <c r="AM126" s="413"/>
      <c r="CM126" s="425"/>
    </row>
    <row r="127" spans="3:91" outlineLevel="3" x14ac:dyDescent="0.25">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7"/>
      <c r="L127" s="1688"/>
      <c r="M127" s="1689"/>
      <c r="N127" s="1189" cm="1">
        <f t="array" ref="N127">IF($E$20="Credera US",V127,SUMPRODUCT(('Rates &amp; Drop Downs INT'!$CG$6:$CG$747=$D127)*('Rates &amp; Drop Downs INT'!$CI$6:$CI$747=$F127)*('Rates &amp; Drop Downs INT'!$CK$6:$CK$747=$K127)*('Rates &amp; Drop Downs INT'!$CM$6:$CM$747)))</f>
        <v>0</v>
      </c>
      <c r="O127" s="1694"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95"/>
      <c r="Q127" s="1695"/>
      <c r="R127" s="1695"/>
      <c r="S127" s="1696"/>
      <c r="T127" s="1692"/>
      <c r="U127" s="169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66"/>
      <c r="AD127" s="1667"/>
      <c r="AE127" s="881"/>
      <c r="AF127" s="892"/>
      <c r="AH127" s="1725"/>
      <c r="AI127" s="1725"/>
      <c r="AJ127" s="413"/>
      <c r="AK127" s="413"/>
      <c r="AL127" s="413"/>
      <c r="AM127" s="413"/>
      <c r="CM127" s="425"/>
    </row>
    <row r="128" spans="3:91" outlineLevel="3" x14ac:dyDescent="0.25">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7"/>
      <c r="L128" s="1688"/>
      <c r="M128" s="1689"/>
      <c r="N128" s="1189" cm="1">
        <f t="array" ref="N128">IF($E$20="Credera US",V128,SUMPRODUCT(('Rates &amp; Drop Downs INT'!$CG$6:$CG$747=$D128)*('Rates &amp; Drop Downs INT'!$CI$6:$CI$747=$F128)*('Rates &amp; Drop Downs INT'!$CK$6:$CK$747=$K128)*('Rates &amp; Drop Downs INT'!$CM$6:$CM$747)))</f>
        <v>0</v>
      </c>
      <c r="O128" s="1694"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95"/>
      <c r="Q128" s="1695"/>
      <c r="R128" s="1695"/>
      <c r="S128" s="1696"/>
      <c r="T128" s="1692"/>
      <c r="U128" s="169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66"/>
      <c r="AD128" s="1667"/>
      <c r="AE128" s="881"/>
      <c r="AF128" s="892"/>
      <c r="AH128" s="1725"/>
      <c r="AI128" s="1725"/>
      <c r="AJ128" s="413"/>
      <c r="AK128" s="413"/>
      <c r="AL128" s="413"/>
      <c r="AM128" s="413"/>
      <c r="CM128" s="425"/>
    </row>
    <row r="129" spans="3:91" outlineLevel="3" x14ac:dyDescent="0.25">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7"/>
      <c r="L129" s="1688"/>
      <c r="M129" s="1689"/>
      <c r="N129" s="1189" cm="1">
        <f t="array" ref="N129">IF($E$20="Credera US",V129,SUMPRODUCT(('Rates &amp; Drop Downs INT'!$CG$6:$CG$747=$D129)*('Rates &amp; Drop Downs INT'!$CI$6:$CI$747=$F129)*('Rates &amp; Drop Downs INT'!$CK$6:$CK$747=$K129)*('Rates &amp; Drop Downs INT'!$CM$6:$CM$747)))</f>
        <v>0</v>
      </c>
      <c r="O129" s="1694"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95"/>
      <c r="Q129" s="1695"/>
      <c r="R129" s="1695"/>
      <c r="S129" s="1696"/>
      <c r="T129" s="1692"/>
      <c r="U129" s="169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66"/>
      <c r="AD129" s="1667"/>
      <c r="AE129" s="881"/>
      <c r="AF129" s="892"/>
      <c r="AH129" s="1725"/>
      <c r="AI129" s="1725"/>
      <c r="AJ129" s="413"/>
      <c r="AK129" s="413"/>
      <c r="AL129" s="413"/>
      <c r="AM129" s="413"/>
      <c r="CM129" s="425"/>
    </row>
    <row r="130" spans="3:91" outlineLevel="3" x14ac:dyDescent="0.25">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7"/>
      <c r="L130" s="1688"/>
      <c r="M130" s="1689"/>
      <c r="N130" s="1189" cm="1">
        <f t="array" ref="N130">IF($E$20="Credera US",V130,SUMPRODUCT(('Rates &amp; Drop Downs INT'!$CG$6:$CG$747=$D130)*('Rates &amp; Drop Downs INT'!$CI$6:$CI$747=$F130)*('Rates &amp; Drop Downs INT'!$CK$6:$CK$747=$K130)*('Rates &amp; Drop Downs INT'!$CM$6:$CM$747)))</f>
        <v>0</v>
      </c>
      <c r="O130" s="1694"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95"/>
      <c r="Q130" s="1695"/>
      <c r="R130" s="1695"/>
      <c r="S130" s="1696"/>
      <c r="T130" s="1692"/>
      <c r="U130" s="169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66"/>
      <c r="AD130" s="1667"/>
      <c r="AE130" s="881"/>
      <c r="AF130" s="892"/>
      <c r="AH130" s="1725"/>
      <c r="AI130" s="1725"/>
      <c r="AJ130" s="413"/>
      <c r="AK130" s="413"/>
      <c r="AL130" s="413"/>
      <c r="AM130" s="413"/>
      <c r="CM130" s="425"/>
    </row>
    <row r="131" spans="3:91" outlineLevel="3" x14ac:dyDescent="0.25">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7"/>
      <c r="L131" s="1688"/>
      <c r="M131" s="1689"/>
      <c r="N131" s="1189" cm="1">
        <f t="array" ref="N131">IF($E$20="Credera US",V131,SUMPRODUCT(('Rates &amp; Drop Downs INT'!$CG$6:$CG$747=$D131)*('Rates &amp; Drop Downs INT'!$CI$6:$CI$747=$F131)*('Rates &amp; Drop Downs INT'!$CK$6:$CK$747=$K131)*('Rates &amp; Drop Downs INT'!$CM$6:$CM$747)))</f>
        <v>0</v>
      </c>
      <c r="O131" s="1694"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95"/>
      <c r="Q131" s="1695"/>
      <c r="R131" s="1695"/>
      <c r="S131" s="1696"/>
      <c r="T131" s="1692"/>
      <c r="U131" s="169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66"/>
      <c r="AD131" s="1667"/>
      <c r="AE131" s="881"/>
      <c r="AF131" s="892"/>
      <c r="AH131" s="1725"/>
      <c r="AI131" s="1725"/>
      <c r="AJ131" s="413"/>
      <c r="AK131" s="413"/>
      <c r="AL131" s="413"/>
      <c r="AM131" s="413"/>
      <c r="CM131" s="425"/>
    </row>
    <row r="132" spans="3:91" outlineLevel="3" x14ac:dyDescent="0.25">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7"/>
      <c r="L132" s="1688"/>
      <c r="M132" s="1689"/>
      <c r="N132" s="1189" cm="1">
        <f t="array" ref="N132">IF($E$20="Credera US",V132,SUMPRODUCT(('Rates &amp; Drop Downs INT'!$CG$6:$CG$747=$D132)*('Rates &amp; Drop Downs INT'!$CI$6:$CI$747=$F132)*('Rates &amp; Drop Downs INT'!$CK$6:$CK$747=$K132)*('Rates &amp; Drop Downs INT'!$CM$6:$CM$747)))</f>
        <v>0</v>
      </c>
      <c r="O132" s="1694"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95"/>
      <c r="Q132" s="1695"/>
      <c r="R132" s="1695"/>
      <c r="S132" s="1696"/>
      <c r="T132" s="1692"/>
      <c r="U132" s="169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66"/>
      <c r="AD132" s="1667"/>
      <c r="AE132" s="881"/>
      <c r="AF132" s="892"/>
      <c r="AH132" s="1725"/>
      <c r="AI132" s="1725"/>
      <c r="AJ132" s="413"/>
      <c r="AK132" s="413"/>
      <c r="AL132" s="413"/>
      <c r="AM132" s="413"/>
      <c r="CM132" s="425"/>
    </row>
    <row r="133" spans="3:91" outlineLevel="3" x14ac:dyDescent="0.25">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7"/>
      <c r="L133" s="1688"/>
      <c r="M133" s="1689"/>
      <c r="N133" s="1189" cm="1">
        <f t="array" ref="N133">IF($E$20="Credera US",V133,SUMPRODUCT(('Rates &amp; Drop Downs INT'!$CG$6:$CG$747=$D133)*('Rates &amp; Drop Downs INT'!$CI$6:$CI$747=$F133)*('Rates &amp; Drop Downs INT'!$CK$6:$CK$747=$K133)*('Rates &amp; Drop Downs INT'!$CM$6:$CM$747)))</f>
        <v>0</v>
      </c>
      <c r="O133" s="1694"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95"/>
      <c r="Q133" s="1695"/>
      <c r="R133" s="1695"/>
      <c r="S133" s="1696"/>
      <c r="T133" s="1692"/>
      <c r="U133" s="169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66"/>
      <c r="AD133" s="1667"/>
      <c r="AE133" s="881"/>
      <c r="AF133" s="892"/>
      <c r="AH133" s="1725"/>
      <c r="AI133" s="1725"/>
      <c r="AJ133" s="413"/>
      <c r="AK133" s="413"/>
      <c r="AL133" s="413"/>
      <c r="AM133" s="413"/>
      <c r="CM133" s="425"/>
    </row>
    <row r="134" spans="3:91" outlineLevel="3" x14ac:dyDescent="0.25">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7"/>
      <c r="L134" s="1688"/>
      <c r="M134" s="1689"/>
      <c r="N134" s="1189" cm="1">
        <f t="array" ref="N134">IF($E$20="Credera US",V134,SUMPRODUCT(('Rates &amp; Drop Downs INT'!$CG$6:$CG$747=$D134)*('Rates &amp; Drop Downs INT'!$CI$6:$CI$747=$F134)*('Rates &amp; Drop Downs INT'!$CK$6:$CK$747=$K134)*('Rates &amp; Drop Downs INT'!$CM$6:$CM$747)))</f>
        <v>0</v>
      </c>
      <c r="O134" s="1694"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95"/>
      <c r="Q134" s="1695"/>
      <c r="R134" s="1695"/>
      <c r="S134" s="1696"/>
      <c r="T134" s="1692"/>
      <c r="U134" s="169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66"/>
      <c r="AD134" s="1667"/>
      <c r="AE134" s="881"/>
      <c r="AF134" s="892"/>
      <c r="AH134" s="1725"/>
      <c r="AI134" s="1725"/>
      <c r="AJ134" s="413"/>
      <c r="AK134" s="413"/>
      <c r="AL134" s="413"/>
      <c r="AM134" s="413"/>
      <c r="CM134" s="425"/>
    </row>
    <row r="135" spans="3:91" outlineLevel="3" x14ac:dyDescent="0.25">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7"/>
      <c r="L135" s="1688"/>
      <c r="M135" s="1689"/>
      <c r="N135" s="1189" cm="1">
        <f t="array" ref="N135">IF($E$20="Credera US",V135,SUMPRODUCT(('Rates &amp; Drop Downs INT'!$CG$6:$CG$747=$D135)*('Rates &amp; Drop Downs INT'!$CI$6:$CI$747=$F135)*('Rates &amp; Drop Downs INT'!$CK$6:$CK$747=$K135)*('Rates &amp; Drop Downs INT'!$CM$6:$CM$747)))</f>
        <v>0</v>
      </c>
      <c r="O135" s="1694"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95"/>
      <c r="Q135" s="1695"/>
      <c r="R135" s="1695"/>
      <c r="S135" s="1696"/>
      <c r="T135" s="1692"/>
      <c r="U135" s="169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66"/>
      <c r="AD135" s="1667"/>
      <c r="AE135" s="881"/>
      <c r="AF135" s="892"/>
      <c r="AH135" s="1725"/>
      <c r="AI135" s="1725"/>
      <c r="AJ135" s="413"/>
      <c r="AK135" s="413"/>
      <c r="AL135" s="413"/>
      <c r="AM135" s="413"/>
      <c r="CM135" s="425"/>
    </row>
    <row r="136" spans="3:91" outlineLevel="3" x14ac:dyDescent="0.25">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7"/>
      <c r="L136" s="1688"/>
      <c r="M136" s="1689"/>
      <c r="N136" s="1189" cm="1">
        <f t="array" ref="N136">IF($E$20="Credera US",V136,SUMPRODUCT(('Rates &amp; Drop Downs INT'!$CG$6:$CG$747=$D136)*('Rates &amp; Drop Downs INT'!$CI$6:$CI$747=$F136)*('Rates &amp; Drop Downs INT'!$CK$6:$CK$747=$K136)*('Rates &amp; Drop Downs INT'!$CM$6:$CM$747)))</f>
        <v>0</v>
      </c>
      <c r="O136" s="1694"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95"/>
      <c r="Q136" s="1695"/>
      <c r="R136" s="1695"/>
      <c r="S136" s="1696"/>
      <c r="T136" s="1692"/>
      <c r="U136" s="169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66"/>
      <c r="AD136" s="1667"/>
      <c r="AE136" s="881"/>
      <c r="AF136" s="892"/>
      <c r="AH136" s="1725"/>
      <c r="AI136" s="1725"/>
      <c r="AJ136" s="413"/>
      <c r="AK136" s="413"/>
      <c r="AL136" s="413"/>
      <c r="AM136" s="413"/>
      <c r="CM136" s="425"/>
    </row>
    <row r="137" spans="3:91" outlineLevel="3" x14ac:dyDescent="0.25">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7"/>
      <c r="L137" s="1688"/>
      <c r="M137" s="1689"/>
      <c r="N137" s="1189" cm="1">
        <f t="array" ref="N137">IF($E$20="Credera US",V137,SUMPRODUCT(('Rates &amp; Drop Downs INT'!$CG$6:$CG$747=$D137)*('Rates &amp; Drop Downs INT'!$CI$6:$CI$747=$F137)*('Rates &amp; Drop Downs INT'!$CK$6:$CK$747=$K137)*('Rates &amp; Drop Downs INT'!$CM$6:$CM$747)))</f>
        <v>0</v>
      </c>
      <c r="O137" s="1694"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95"/>
      <c r="Q137" s="1695"/>
      <c r="R137" s="1695"/>
      <c r="S137" s="1696"/>
      <c r="T137" s="1692"/>
      <c r="U137" s="169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66"/>
      <c r="AD137" s="1667"/>
      <c r="AE137" s="881"/>
      <c r="AF137" s="892"/>
      <c r="AH137" s="1725"/>
      <c r="AI137" s="1725"/>
      <c r="AJ137" s="413"/>
      <c r="AK137" s="413"/>
      <c r="AL137" s="413"/>
      <c r="AM137" s="413"/>
      <c r="CM137" s="425"/>
    </row>
    <row r="138" spans="3:91" outlineLevel="3" x14ac:dyDescent="0.25">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7"/>
      <c r="L138" s="1688"/>
      <c r="M138" s="1689"/>
      <c r="N138" s="1189" cm="1">
        <f t="array" ref="N138">IF($E$20="Credera US",V138,SUMPRODUCT(('Rates &amp; Drop Downs INT'!$CG$6:$CG$747=$D138)*('Rates &amp; Drop Downs INT'!$CI$6:$CI$747=$F138)*('Rates &amp; Drop Downs INT'!$CK$6:$CK$747=$K138)*('Rates &amp; Drop Downs INT'!$CM$6:$CM$747)))</f>
        <v>0</v>
      </c>
      <c r="O138" s="1694"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95"/>
      <c r="Q138" s="1695"/>
      <c r="R138" s="1695"/>
      <c r="S138" s="1696"/>
      <c r="T138" s="1692"/>
      <c r="U138" s="169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66"/>
      <c r="AD138" s="1667"/>
      <c r="AE138" s="881"/>
      <c r="AF138" s="892"/>
      <c r="AH138" s="1725"/>
      <c r="AI138" s="1725"/>
      <c r="AJ138" s="413"/>
      <c r="AK138" s="413"/>
      <c r="AL138" s="413"/>
      <c r="AM138" s="413"/>
      <c r="CM138" s="425"/>
    </row>
    <row r="139" spans="3:91" outlineLevel="3" x14ac:dyDescent="0.25">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7"/>
      <c r="L139" s="1688"/>
      <c r="M139" s="1689"/>
      <c r="N139" s="1189" cm="1">
        <f t="array" ref="N139">IF($E$20="Credera US",V139,SUMPRODUCT(('Rates &amp; Drop Downs INT'!$CG$6:$CG$747=$D139)*('Rates &amp; Drop Downs INT'!$CI$6:$CI$747=$F139)*('Rates &amp; Drop Downs INT'!$CK$6:$CK$747=$K139)*('Rates &amp; Drop Downs INT'!$CM$6:$CM$747)))</f>
        <v>0</v>
      </c>
      <c r="O139" s="1694"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95"/>
      <c r="Q139" s="1695"/>
      <c r="R139" s="1695"/>
      <c r="S139" s="1696"/>
      <c r="T139" s="1692"/>
      <c r="U139" s="169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66"/>
      <c r="AD139" s="1667"/>
      <c r="AE139" s="881"/>
      <c r="AF139" s="892"/>
      <c r="AH139" s="1725"/>
      <c r="AI139" s="1725"/>
      <c r="AJ139" s="413"/>
      <c r="AK139" s="413"/>
      <c r="AL139" s="413"/>
      <c r="AM139" s="413"/>
      <c r="CM139" s="425"/>
    </row>
    <row r="140" spans="3:91" outlineLevel="3" x14ac:dyDescent="0.25">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7"/>
      <c r="L140" s="1688"/>
      <c r="M140" s="1689"/>
      <c r="N140" s="1189" cm="1">
        <f t="array" ref="N140">IF($E$20="Credera US",V140,SUMPRODUCT(('Rates &amp; Drop Downs INT'!$CG$6:$CG$747=$D140)*('Rates &amp; Drop Downs INT'!$CI$6:$CI$747=$F140)*('Rates &amp; Drop Downs INT'!$CK$6:$CK$747=$K140)*('Rates &amp; Drop Downs INT'!$CM$6:$CM$747)))</f>
        <v>0</v>
      </c>
      <c r="O140" s="1694"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95"/>
      <c r="Q140" s="1695"/>
      <c r="R140" s="1695"/>
      <c r="S140" s="1696"/>
      <c r="T140" s="1692"/>
      <c r="U140" s="169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66"/>
      <c r="AD140" s="1667"/>
      <c r="AE140" s="881"/>
      <c r="AF140" s="892"/>
      <c r="AH140" s="1725"/>
      <c r="AI140" s="1725"/>
      <c r="AJ140" s="413"/>
      <c r="AK140" s="413"/>
      <c r="AL140" s="413"/>
      <c r="AM140" s="413"/>
      <c r="CM140" s="425"/>
    </row>
    <row r="141" spans="3:91" outlineLevel="3" x14ac:dyDescent="0.25">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7"/>
      <c r="L141" s="1688"/>
      <c r="M141" s="1689"/>
      <c r="N141" s="1189" cm="1">
        <f t="array" ref="N141">IF($E$20="Credera US",V141,SUMPRODUCT(('Rates &amp; Drop Downs INT'!$CG$6:$CG$747=$D141)*('Rates &amp; Drop Downs INT'!$CI$6:$CI$747=$F141)*('Rates &amp; Drop Downs INT'!$CK$6:$CK$747=$K141)*('Rates &amp; Drop Downs INT'!$CM$6:$CM$747)))</f>
        <v>0</v>
      </c>
      <c r="O141" s="1694"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95"/>
      <c r="Q141" s="1695"/>
      <c r="R141" s="1695"/>
      <c r="S141" s="1696"/>
      <c r="T141" s="1692"/>
      <c r="U141" s="169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66"/>
      <c r="AD141" s="1667"/>
      <c r="AE141" s="881"/>
      <c r="AF141" s="892"/>
      <c r="AH141" s="1725"/>
      <c r="AI141" s="1725"/>
      <c r="AJ141" s="413"/>
      <c r="AK141" s="413"/>
      <c r="AL141" s="413"/>
      <c r="AM141" s="413"/>
      <c r="CM141" s="425"/>
    </row>
    <row r="142" spans="3:91" outlineLevel="3" x14ac:dyDescent="0.25">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7"/>
      <c r="L142" s="1688"/>
      <c r="M142" s="1689"/>
      <c r="N142" s="1189" cm="1">
        <f t="array" ref="N142">IF($E$20="Credera US",V142,SUMPRODUCT(('Rates &amp; Drop Downs INT'!$CG$6:$CG$747=$D142)*('Rates &amp; Drop Downs INT'!$CI$6:$CI$747=$F142)*('Rates &amp; Drop Downs INT'!$CK$6:$CK$747=$K142)*('Rates &amp; Drop Downs INT'!$CM$6:$CM$747)))</f>
        <v>0</v>
      </c>
      <c r="O142" s="1694"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95"/>
      <c r="Q142" s="1695"/>
      <c r="R142" s="1695"/>
      <c r="S142" s="1696"/>
      <c r="T142" s="1692"/>
      <c r="U142" s="169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66"/>
      <c r="AD142" s="1667"/>
      <c r="AE142" s="881"/>
      <c r="AF142" s="892"/>
      <c r="AH142" s="1725"/>
      <c r="AI142" s="1725"/>
      <c r="AJ142" s="413"/>
      <c r="AK142" s="413"/>
      <c r="AL142" s="413"/>
      <c r="AM142" s="413"/>
      <c r="CM142" s="425"/>
    </row>
    <row r="143" spans="3:91" outlineLevel="3" x14ac:dyDescent="0.25">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7"/>
      <c r="L143" s="1688"/>
      <c r="M143" s="1689"/>
      <c r="N143" s="1189" cm="1">
        <f t="array" ref="N143">IF($E$20="Credera US",V143,SUMPRODUCT(('Rates &amp; Drop Downs INT'!$CG$6:$CG$747=$D143)*('Rates &amp; Drop Downs INT'!$CI$6:$CI$747=$F143)*('Rates &amp; Drop Downs INT'!$CK$6:$CK$747=$K143)*('Rates &amp; Drop Downs INT'!$CM$6:$CM$747)))</f>
        <v>0</v>
      </c>
      <c r="O143" s="1694"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95"/>
      <c r="Q143" s="1695"/>
      <c r="R143" s="1695"/>
      <c r="S143" s="1696"/>
      <c r="T143" s="1692"/>
      <c r="U143" s="169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66"/>
      <c r="AD143" s="1667"/>
      <c r="AE143" s="881"/>
      <c r="AF143" s="892"/>
      <c r="AH143" s="1725"/>
      <c r="AI143" s="1725"/>
      <c r="AJ143" s="413"/>
      <c r="AK143" s="413"/>
      <c r="AL143" s="413"/>
      <c r="AM143" s="413"/>
      <c r="CM143" s="425"/>
    </row>
    <row r="144" spans="3:91" outlineLevel="3" x14ac:dyDescent="0.25">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7"/>
      <c r="L144" s="1688"/>
      <c r="M144" s="1689"/>
      <c r="N144" s="1189" cm="1">
        <f t="array" ref="N144">IF($E$20="Credera US",V144,SUMPRODUCT(('Rates &amp; Drop Downs INT'!$CG$6:$CG$747=$D144)*('Rates &amp; Drop Downs INT'!$CI$6:$CI$747=$F144)*('Rates &amp; Drop Downs INT'!$CK$6:$CK$747=$K144)*('Rates &amp; Drop Downs INT'!$CM$6:$CM$747)))</f>
        <v>0</v>
      </c>
      <c r="O144" s="1694"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95"/>
      <c r="Q144" s="1695"/>
      <c r="R144" s="1695"/>
      <c r="S144" s="1696"/>
      <c r="T144" s="1692"/>
      <c r="U144" s="169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66"/>
      <c r="AD144" s="1667"/>
      <c r="AE144" s="881"/>
      <c r="AF144" s="892"/>
      <c r="AH144" s="1725"/>
      <c r="AI144" s="1725"/>
      <c r="AJ144" s="413"/>
      <c r="AK144" s="413"/>
      <c r="AL144" s="413"/>
      <c r="AM144" s="413"/>
      <c r="CM144" s="425"/>
    </row>
    <row r="145" spans="1:97" outlineLevel="3" x14ac:dyDescent="0.25">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7"/>
      <c r="L145" s="1688"/>
      <c r="M145" s="1689"/>
      <c r="N145" s="1189" cm="1">
        <f t="array" ref="N145">IF($E$20="Credera US",V145,SUMPRODUCT(('Rates &amp; Drop Downs INT'!$CG$6:$CG$747=$D145)*('Rates &amp; Drop Downs INT'!$CI$6:$CI$747=$F145)*('Rates &amp; Drop Downs INT'!$CK$6:$CK$747=$K145)*('Rates &amp; Drop Downs INT'!$CM$6:$CM$747)))</f>
        <v>0</v>
      </c>
      <c r="O145" s="1694"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95"/>
      <c r="Q145" s="1695"/>
      <c r="R145" s="1695"/>
      <c r="S145" s="1696"/>
      <c r="T145" s="1692"/>
      <c r="U145" s="169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66"/>
      <c r="AD145" s="1667"/>
      <c r="AE145" s="881"/>
      <c r="AF145" s="892"/>
      <c r="AH145" s="1725"/>
      <c r="AI145" s="1725"/>
      <c r="AJ145" s="413"/>
      <c r="AK145" s="413"/>
      <c r="AL145" s="413"/>
      <c r="AM145" s="413"/>
      <c r="CM145" s="425"/>
    </row>
    <row r="146" spans="1:97" outlineLevel="3" x14ac:dyDescent="0.25">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7"/>
      <c r="L146" s="1688"/>
      <c r="M146" s="1689"/>
      <c r="N146" s="1189" cm="1">
        <f t="array" ref="N146">IF($E$20="Credera US",V146,SUMPRODUCT(('Rates &amp; Drop Downs INT'!$CG$6:$CG$747=$D146)*('Rates &amp; Drop Downs INT'!$CI$6:$CI$747=$F146)*('Rates &amp; Drop Downs INT'!$CK$6:$CK$747=$K146)*('Rates &amp; Drop Downs INT'!$CM$6:$CM$747)))</f>
        <v>0</v>
      </c>
      <c r="O146" s="1694"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95"/>
      <c r="Q146" s="1695"/>
      <c r="R146" s="1695"/>
      <c r="S146" s="1696"/>
      <c r="T146" s="1692"/>
      <c r="U146" s="169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66"/>
      <c r="AD146" s="1667"/>
      <c r="AE146" s="881"/>
      <c r="AF146" s="892"/>
      <c r="AH146" s="1725"/>
      <c r="AI146" s="1725"/>
      <c r="AJ146" s="413"/>
      <c r="AK146" s="413"/>
      <c r="AL146" s="413"/>
      <c r="AM146" s="413"/>
      <c r="CM146" s="425"/>
    </row>
    <row r="147" spans="1:97" outlineLevel="3" x14ac:dyDescent="0.25">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7"/>
      <c r="L147" s="1688"/>
      <c r="M147" s="1689"/>
      <c r="N147" s="1194" cm="1">
        <f t="array" ref="N147">IF($E$20="Credera US",V147,SUMPRODUCT(('Rates &amp; Drop Downs INT'!$CG$6:$CG$747=$D147)*('Rates &amp; Drop Downs INT'!$CI$6:$CI$747=$F147)*('Rates &amp; Drop Downs INT'!$CK$6:$CK$747=$K147)*('Rates &amp; Drop Downs INT'!$CM$6:$CM$747)))</f>
        <v>0</v>
      </c>
      <c r="O147" s="1732"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733"/>
      <c r="Q147" s="1733"/>
      <c r="R147" s="1733"/>
      <c r="S147" s="1734"/>
      <c r="T147" s="1693"/>
      <c r="U147" s="169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668"/>
      <c r="AD147" s="1669"/>
      <c r="AE147" s="894"/>
      <c r="AF147" s="895"/>
      <c r="AH147" s="1725"/>
      <c r="AI147" s="1725"/>
      <c r="AJ147" s="413"/>
      <c r="AK147" s="413"/>
      <c r="AL147" s="413"/>
      <c r="AM147" s="413"/>
      <c r="CM147" s="425"/>
    </row>
    <row r="148" spans="1:97" s="406" customFormat="1" x14ac:dyDescent="0.25">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25">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399999999999999" x14ac:dyDescent="0.25">
      <c r="A150" s="395"/>
      <c r="B150" s="395"/>
      <c r="C150" s="801" t="s">
        <v>2320</v>
      </c>
      <c r="Y150" s="409"/>
      <c r="Z150" s="409"/>
      <c r="AA150" s="715"/>
      <c r="AB150" s="715"/>
      <c r="AC150" s="715"/>
      <c r="AD150" s="715"/>
      <c r="AE150" s="715"/>
      <c r="AI150" s="559"/>
      <c r="AJ150" s="716"/>
      <c r="AK150" s="716"/>
      <c r="AL150" s="716"/>
      <c r="AM150" s="716"/>
      <c r="CM150" s="717"/>
    </row>
    <row r="151" spans="1:97" s="624" customFormat="1" ht="31.05" customHeight="1" x14ac:dyDescent="0.3">
      <c r="C151" s="1730" t="s">
        <v>3234</v>
      </c>
      <c r="D151" s="1730"/>
      <c r="E151" s="1730"/>
      <c r="F151" s="1730"/>
      <c r="G151" s="1730"/>
      <c r="H151" s="1731"/>
      <c r="I151" s="1730"/>
      <c r="J151" s="1730"/>
      <c r="K151" s="1730"/>
      <c r="L151" s="1730"/>
      <c r="M151" s="1730"/>
      <c r="N151" s="1730"/>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3.95" customHeight="1" x14ac:dyDescent="0.3">
      <c r="C152" s="1665" t="s">
        <v>3582</v>
      </c>
      <c r="D152" s="1665"/>
      <c r="E152" s="1665"/>
      <c r="F152" s="1665"/>
      <c r="G152" s="1665"/>
      <c r="H152" s="1665"/>
      <c r="I152" s="1665"/>
      <c r="J152" s="1665"/>
      <c r="K152" s="1665"/>
      <c r="L152" s="1665"/>
      <c r="M152" s="1665"/>
      <c r="N152" s="1665"/>
      <c r="O152" s="1665"/>
      <c r="P152" s="1665"/>
      <c r="Y152" s="838"/>
      <c r="Z152" s="838"/>
      <c r="AA152" s="839"/>
      <c r="AB152" s="839"/>
      <c r="AC152" s="839"/>
      <c r="AD152" s="839"/>
      <c r="AE152" s="839"/>
      <c r="AI152" s="837"/>
      <c r="AJ152" s="822"/>
      <c r="AK152" s="822"/>
      <c r="AL152" s="822"/>
      <c r="AM152" s="822"/>
      <c r="CM152" s="840"/>
    </row>
    <row r="153" spans="1:97" s="624" customFormat="1" x14ac:dyDescent="0.3">
      <c r="C153" s="624" t="s">
        <v>2317</v>
      </c>
      <c r="Y153" s="838"/>
      <c r="Z153" s="838"/>
      <c r="AA153" s="839"/>
      <c r="AB153" s="839"/>
      <c r="AC153" s="839"/>
      <c r="AD153" s="839"/>
      <c r="AE153" s="839"/>
      <c r="AI153" s="837"/>
      <c r="AJ153" s="822"/>
      <c r="AK153" s="822"/>
      <c r="AL153" s="822"/>
      <c r="AM153" s="822"/>
      <c r="CM153" s="840"/>
    </row>
    <row r="154" spans="1:97" s="624" customFormat="1" x14ac:dyDescent="0.3">
      <c r="C154" s="1690" t="s">
        <v>2318</v>
      </c>
      <c r="D154" s="1690"/>
      <c r="E154" s="1690"/>
      <c r="F154" s="1690"/>
      <c r="G154" s="1690"/>
      <c r="H154" s="1690"/>
      <c r="I154" s="1690"/>
      <c r="J154" s="1690"/>
      <c r="K154" s="1690"/>
      <c r="L154" s="1690"/>
      <c r="M154" s="1690"/>
      <c r="N154" s="1690"/>
      <c r="Y154" s="838"/>
      <c r="Z154" s="838"/>
      <c r="AA154" s="839"/>
      <c r="AB154" s="839"/>
      <c r="AC154" s="839"/>
      <c r="AD154" s="839"/>
      <c r="AE154" s="839"/>
      <c r="AI154" s="837"/>
      <c r="AJ154" s="822"/>
      <c r="AK154" s="822"/>
      <c r="AL154" s="822"/>
      <c r="AM154" s="822"/>
      <c r="CM154" s="840"/>
    </row>
    <row r="155" spans="1:97" ht="22.05" customHeight="1" x14ac:dyDescent="0.25">
      <c r="C155" s="1690" t="s">
        <v>2319</v>
      </c>
      <c r="D155" s="1690"/>
      <c r="E155" s="1690"/>
      <c r="F155" s="1690"/>
      <c r="G155" s="1690"/>
      <c r="H155" s="1690"/>
      <c r="I155" s="1690"/>
      <c r="J155" s="1690"/>
      <c r="K155" s="1690"/>
      <c r="L155" s="1690"/>
      <c r="M155" s="1690"/>
      <c r="N155" s="1690"/>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2.95" hidden="1" customHeight="1" x14ac:dyDescent="0.25">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45" customHeight="1" x14ac:dyDescent="0.3">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25">
      <c r="D158" s="1388"/>
      <c r="E158" s="1390"/>
      <c r="F158" s="1390">
        <f>IF(E28="MM/DD/YYYY"," ",E28)</f>
        <v>45916</v>
      </c>
      <c r="G158" s="1390"/>
      <c r="H158" s="1390"/>
      <c r="I158" s="1390">
        <f>IFERROR(F158+7-WEEKDAY(F158,3),"")</f>
        <v>45922</v>
      </c>
      <c r="J158" s="1390"/>
      <c r="K158" s="1390">
        <f>IFERROR(I158+7," ")</f>
        <v>45929</v>
      </c>
      <c r="L158" s="1390">
        <f>IFERROR(K158+7," ")</f>
        <v>45936</v>
      </c>
      <c r="M158" s="1390">
        <f>IFERROR(L158+7," ")</f>
        <v>45943</v>
      </c>
      <c r="N158" s="1390">
        <f>IFERROR(M158+7," ")</f>
        <v>45950</v>
      </c>
      <c r="O158" s="1390">
        <f>IFERROR(N158+7," ")</f>
        <v>45957</v>
      </c>
      <c r="P158" s="1390">
        <f t="shared" ref="P158" si="9">IFERROR(O158+7," ")</f>
        <v>45964</v>
      </c>
      <c r="Q158" s="1390">
        <f t="shared" ref="Q158" si="10">IFERROR(P158+7," ")</f>
        <v>45971</v>
      </c>
      <c r="R158" s="1390">
        <f t="shared" ref="R158" si="11">IFERROR(Q158+7," ")</f>
        <v>45978</v>
      </c>
      <c r="S158" s="1390">
        <f t="shared" ref="S158" si="12">IFERROR(R158+7," ")</f>
        <v>45985</v>
      </c>
      <c r="T158" s="1390">
        <f t="shared" ref="T158" si="13">IFERROR(S158+7," ")</f>
        <v>45992</v>
      </c>
      <c r="U158" s="1390">
        <f t="shared" ref="U158" si="14">IFERROR(T158+7," ")</f>
        <v>45999</v>
      </c>
      <c r="V158" s="1390"/>
      <c r="W158" s="1390"/>
      <c r="X158" s="1390"/>
      <c r="Y158" s="1390">
        <f>IFERROR(U158+7," ")</f>
        <v>46006</v>
      </c>
      <c r="Z158" s="1390">
        <f t="shared" ref="Z158" si="15">IFERROR(Y158+7," ")</f>
        <v>46013</v>
      </c>
      <c r="AA158" s="1390">
        <f t="shared" ref="AA158" si="16">IFERROR(Z158+7," ")</f>
        <v>46020</v>
      </c>
      <c r="AB158" s="1390">
        <f t="shared" ref="AB158" si="17">IFERROR(AA158+7," ")</f>
        <v>46027</v>
      </c>
      <c r="AC158" s="1390"/>
      <c r="AD158" s="1524"/>
      <c r="AE158" s="1524"/>
      <c r="AF158" s="1524"/>
      <c r="AG158" s="1390">
        <f>IFERROR(AB158+7," ")</f>
        <v>46034</v>
      </c>
      <c r="AH158" s="1390">
        <f>IFERROR(AG158+7," ")</f>
        <v>46041</v>
      </c>
      <c r="AI158" s="1390">
        <f t="shared" ref="AI158:BJ158" si="18">IFERROR(AH158+7," ")</f>
        <v>46048</v>
      </c>
      <c r="AJ158" s="1390">
        <f>IFERROR(AI158+7," ")</f>
        <v>46055</v>
      </c>
      <c r="AK158" s="1390">
        <f t="shared" si="18"/>
        <v>46062</v>
      </c>
      <c r="AL158" s="1390">
        <f t="shared" si="18"/>
        <v>46069</v>
      </c>
      <c r="AM158" s="1390">
        <f t="shared" si="18"/>
        <v>46076</v>
      </c>
      <c r="AN158" s="1390">
        <f t="shared" si="18"/>
        <v>46083</v>
      </c>
      <c r="AO158" s="1390">
        <f t="shared" si="18"/>
        <v>46090</v>
      </c>
      <c r="AP158" s="1390">
        <f t="shared" si="18"/>
        <v>46097</v>
      </c>
      <c r="AQ158" s="1390">
        <f t="shared" si="18"/>
        <v>46104</v>
      </c>
      <c r="AR158" s="1390">
        <f t="shared" si="18"/>
        <v>46111</v>
      </c>
      <c r="AS158" s="1390">
        <f t="shared" si="18"/>
        <v>46118</v>
      </c>
      <c r="AT158" s="1390">
        <f t="shared" si="18"/>
        <v>46125</v>
      </c>
      <c r="AU158" s="1390">
        <f t="shared" si="18"/>
        <v>46132</v>
      </c>
      <c r="AV158" s="1390">
        <f t="shared" si="18"/>
        <v>46139</v>
      </c>
      <c r="AW158" s="1390">
        <f t="shared" si="18"/>
        <v>46146</v>
      </c>
      <c r="AX158" s="1390">
        <f t="shared" si="18"/>
        <v>46153</v>
      </c>
      <c r="AY158" s="1390">
        <f t="shared" si="18"/>
        <v>46160</v>
      </c>
      <c r="AZ158" s="1390">
        <f t="shared" si="18"/>
        <v>46167</v>
      </c>
      <c r="BA158" s="1390">
        <f t="shared" si="18"/>
        <v>46174</v>
      </c>
      <c r="BB158" s="1390">
        <f t="shared" si="18"/>
        <v>46181</v>
      </c>
      <c r="BC158" s="1390">
        <f t="shared" si="18"/>
        <v>46188</v>
      </c>
      <c r="BD158" s="1390">
        <f t="shared" si="18"/>
        <v>46195</v>
      </c>
      <c r="BE158" s="1390">
        <f t="shared" si="18"/>
        <v>46202</v>
      </c>
      <c r="BF158" s="1390">
        <f t="shared" si="18"/>
        <v>46209</v>
      </c>
      <c r="BG158" s="1390">
        <f t="shared" si="18"/>
        <v>46216</v>
      </c>
      <c r="BH158" s="1390">
        <f t="shared" si="18"/>
        <v>46223</v>
      </c>
      <c r="BI158" s="1390">
        <f t="shared" si="18"/>
        <v>46230</v>
      </c>
      <c r="BJ158" s="1390">
        <f t="shared" si="18"/>
        <v>46237</v>
      </c>
      <c r="BK158" s="1390">
        <f t="shared" ref="BK158" si="19">IFERROR(BJ158+7," ")</f>
        <v>46244</v>
      </c>
      <c r="BL158" s="1390">
        <f t="shared" ref="BL158" si="20">IFERROR(BK158+7," ")</f>
        <v>46251</v>
      </c>
      <c r="BM158" s="1390">
        <f t="shared" ref="BM158" si="21">IFERROR(BL158+7," ")</f>
        <v>46258</v>
      </c>
      <c r="BN158" s="1390">
        <f>IFERROR(BM158+7," ")</f>
        <v>46265</v>
      </c>
      <c r="BO158" s="1390">
        <f>IFERROR(BN158+7," ")</f>
        <v>46272</v>
      </c>
      <c r="CE158" s="425"/>
      <c r="CF158" s="543"/>
      <c r="CG158" s="543"/>
      <c r="CH158" s="543"/>
      <c r="CI158" s="543"/>
      <c r="CJ158" s="543"/>
    </row>
    <row r="159" spans="1:97" hidden="1" x14ac:dyDescent="0.25">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6.95" customHeight="1" x14ac:dyDescent="0.25">
      <c r="C160" s="1741" t="s">
        <v>3679</v>
      </c>
      <c r="D160" s="1741"/>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25">
      <c r="C161" s="1735" t="s">
        <v>176</v>
      </c>
      <c r="D161" s="1735"/>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05" customHeight="1" x14ac:dyDescent="0.25">
      <c r="C162" s="1735" t="s">
        <v>257</v>
      </c>
      <c r="D162" s="1735"/>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25">
      <c r="C163" s="1735" t="s">
        <v>269</v>
      </c>
      <c r="D163" s="1735"/>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25">
      <c r="C164" s="1735" t="s">
        <v>283</v>
      </c>
      <c r="D164" s="1735"/>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25">
      <c r="C165" s="1735" t="s">
        <v>294</v>
      </c>
      <c r="D165" s="1735"/>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25">
      <c r="D166" s="569" t="s">
        <v>2160</v>
      </c>
      <c r="E166" s="883"/>
      <c r="F166" s="883">
        <f>IF(WEEKDAY(F158,1)=2,F158,F158-WEEKDAY(F158,1)+2)</f>
        <v>45915</v>
      </c>
      <c r="G166" s="883"/>
      <c r="H166" s="883"/>
      <c r="I166" s="883">
        <f>IF(WEEKDAY(I158,1)=2,I158,I158-WEEKDAY(I158,1)+2)</f>
        <v>45922</v>
      </c>
      <c r="J166" s="883"/>
      <c r="K166" s="883">
        <f t="shared" ref="K166:AB166" si="72">IF(WEEKDAY(K158,1)=2,K158,K158-WEEKDAY(K158,1)+2)</f>
        <v>45929</v>
      </c>
      <c r="L166" s="883">
        <f t="shared" si="72"/>
        <v>45936</v>
      </c>
      <c r="M166" s="883">
        <f t="shared" si="72"/>
        <v>45943</v>
      </c>
      <c r="N166" s="883">
        <f t="shared" si="72"/>
        <v>45950</v>
      </c>
      <c r="O166" s="883">
        <f t="shared" si="72"/>
        <v>45957</v>
      </c>
      <c r="P166" s="883">
        <f t="shared" si="72"/>
        <v>45964</v>
      </c>
      <c r="Q166" s="883">
        <f t="shared" si="72"/>
        <v>45971</v>
      </c>
      <c r="R166" s="897">
        <f t="shared" si="72"/>
        <v>45978</v>
      </c>
      <c r="S166" s="901">
        <f t="shared" si="72"/>
        <v>45985</v>
      </c>
      <c r="T166" s="901">
        <f t="shared" si="72"/>
        <v>45992</v>
      </c>
      <c r="U166" s="901">
        <f t="shared" si="72"/>
        <v>45999</v>
      </c>
      <c r="V166" s="901"/>
      <c r="W166" s="901"/>
      <c r="X166" s="901"/>
      <c r="Y166" s="901">
        <f t="shared" si="72"/>
        <v>46006</v>
      </c>
      <c r="Z166" s="901">
        <f t="shared" si="72"/>
        <v>46013</v>
      </c>
      <c r="AA166" s="901">
        <f t="shared" si="72"/>
        <v>46020</v>
      </c>
      <c r="AB166" s="901">
        <f t="shared" si="72"/>
        <v>46027</v>
      </c>
      <c r="AC166" s="901"/>
      <c r="AH166" s="901">
        <f t="shared" ref="AH166:BN166" si="73">IF(WEEKDAY(AH158,1)=2,AH158,AH158-WEEKDAY(AH158,1)+2)</f>
        <v>46041</v>
      </c>
      <c r="AI166" s="901">
        <f t="shared" si="73"/>
        <v>46048</v>
      </c>
      <c r="AJ166" s="901">
        <f t="shared" si="73"/>
        <v>46055</v>
      </c>
      <c r="AK166" s="901">
        <f t="shared" si="73"/>
        <v>46062</v>
      </c>
      <c r="AL166" s="901">
        <f t="shared" si="73"/>
        <v>46069</v>
      </c>
      <c r="AM166" s="901">
        <f t="shared" si="73"/>
        <v>46076</v>
      </c>
      <c r="AN166" s="901">
        <f t="shared" si="73"/>
        <v>46083</v>
      </c>
      <c r="AO166" s="901">
        <f t="shared" si="73"/>
        <v>46090</v>
      </c>
      <c r="AP166" s="901">
        <f t="shared" si="73"/>
        <v>46097</v>
      </c>
      <c r="AQ166" s="901">
        <f t="shared" si="73"/>
        <v>46104</v>
      </c>
      <c r="AR166" s="901">
        <f t="shared" si="73"/>
        <v>46111</v>
      </c>
      <c r="AS166" s="901">
        <f t="shared" si="73"/>
        <v>46118</v>
      </c>
      <c r="AT166" s="901">
        <f t="shared" si="73"/>
        <v>46125</v>
      </c>
      <c r="AU166" s="901">
        <f t="shared" si="73"/>
        <v>46132</v>
      </c>
      <c r="AV166" s="901">
        <f t="shared" si="73"/>
        <v>46139</v>
      </c>
      <c r="AW166" s="901">
        <f t="shared" si="73"/>
        <v>46146</v>
      </c>
      <c r="AX166" s="901">
        <f t="shared" si="73"/>
        <v>46153</v>
      </c>
      <c r="AY166" s="901">
        <f t="shared" si="73"/>
        <v>46160</v>
      </c>
      <c r="AZ166" s="901">
        <f t="shared" si="73"/>
        <v>46167</v>
      </c>
      <c r="BA166" s="901">
        <f t="shared" si="73"/>
        <v>46174</v>
      </c>
      <c r="BB166" s="901">
        <f t="shared" si="73"/>
        <v>46181</v>
      </c>
      <c r="BC166" s="901">
        <f t="shared" si="73"/>
        <v>46188</v>
      </c>
      <c r="BD166" s="901">
        <f t="shared" si="73"/>
        <v>46195</v>
      </c>
      <c r="BE166" s="901">
        <f t="shared" si="73"/>
        <v>46202</v>
      </c>
      <c r="BF166" s="901">
        <f t="shared" si="73"/>
        <v>46209</v>
      </c>
      <c r="BG166" s="901">
        <f t="shared" si="73"/>
        <v>46216</v>
      </c>
      <c r="BH166" s="901">
        <f t="shared" si="73"/>
        <v>46223</v>
      </c>
      <c r="BI166" s="901">
        <f t="shared" si="73"/>
        <v>46230</v>
      </c>
      <c r="BJ166" s="901">
        <f t="shared" si="73"/>
        <v>46237</v>
      </c>
      <c r="BK166" s="901">
        <f t="shared" si="73"/>
        <v>46244</v>
      </c>
      <c r="BL166" s="901">
        <f t="shared" si="73"/>
        <v>46251</v>
      </c>
      <c r="BM166" s="1337">
        <f t="shared" si="73"/>
        <v>46258</v>
      </c>
      <c r="BN166" s="1338">
        <f t="shared" si="73"/>
        <v>46265</v>
      </c>
      <c r="BO166" s="1338">
        <f t="shared" ref="BO166" si="74">IF(WEEKDAY(BO158,1)=2,BO158,BO158-WEEKDAY(BO158,1)+2)</f>
        <v>46272</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25">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25">
      <c r="BN168" s="1340"/>
      <c r="BO168" s="1340"/>
    </row>
    <row r="169" spans="3:95" ht="22.05" customHeight="1" x14ac:dyDescent="0.25">
      <c r="C169" s="1205" t="s">
        <v>2405</v>
      </c>
      <c r="D169" s="1205" t="s">
        <v>2407</v>
      </c>
      <c r="E169" s="1321"/>
      <c r="F169" s="1321">
        <f>SUM(F170:F269)</f>
        <v>252</v>
      </c>
      <c r="G169" s="1321"/>
      <c r="H169" s="1321"/>
      <c r="I169" s="1321">
        <f>SUM(I170:I269)</f>
        <v>252</v>
      </c>
      <c r="J169" s="1321"/>
      <c r="K169" s="1321">
        <f>SUM(K170:K269)</f>
        <v>252</v>
      </c>
      <c r="L169" s="1321">
        <f t="shared" ref="L169:AB169" si="75">SUM(L170:L269)</f>
        <v>252</v>
      </c>
      <c r="M169" s="1321">
        <f t="shared" si="75"/>
        <v>292</v>
      </c>
      <c r="N169" s="1321">
        <f t="shared" si="75"/>
        <v>292</v>
      </c>
      <c r="O169" s="1321">
        <f t="shared" si="75"/>
        <v>292</v>
      </c>
      <c r="P169" s="1321">
        <f t="shared" si="75"/>
        <v>292</v>
      </c>
      <c r="Q169" s="1321">
        <f t="shared" si="75"/>
        <v>292</v>
      </c>
      <c r="R169" s="1321">
        <f t="shared" si="75"/>
        <v>292</v>
      </c>
      <c r="S169" s="1321">
        <f t="shared" si="75"/>
        <v>292</v>
      </c>
      <c r="T169" s="1321">
        <f t="shared" si="75"/>
        <v>292</v>
      </c>
      <c r="U169" s="1321">
        <f t="shared" si="75"/>
        <v>292</v>
      </c>
      <c r="V169" s="1321"/>
      <c r="W169" s="1321"/>
      <c r="X169" s="1321"/>
      <c r="Y169" s="1321">
        <f t="shared" si="75"/>
        <v>252</v>
      </c>
      <c r="Z169" s="1321">
        <f t="shared" si="75"/>
        <v>252</v>
      </c>
      <c r="AA169" s="1321">
        <f t="shared" si="75"/>
        <v>252</v>
      </c>
      <c r="AB169" s="899">
        <f t="shared" si="75"/>
        <v>252</v>
      </c>
      <c r="AC169" s="899"/>
      <c r="AD169" s="1335"/>
      <c r="AE169" s="1335"/>
      <c r="AF169" s="1335"/>
      <c r="AG169" s="1335">
        <f>SUM(AG170:AG269)</f>
        <v>292</v>
      </c>
      <c r="AH169" s="899">
        <f t="shared" ref="AH169:AI169" si="76">SUM(AH170:AH269)</f>
        <v>292</v>
      </c>
      <c r="AI169" s="899">
        <f t="shared" si="76"/>
        <v>292</v>
      </c>
      <c r="AJ169" s="899">
        <f t="shared" ref="AJ169:BC169" si="77">SUM(AJ170:AJ269)</f>
        <v>292</v>
      </c>
      <c r="AK169" s="899">
        <f t="shared" si="77"/>
        <v>292</v>
      </c>
      <c r="AL169" s="899">
        <f t="shared" si="77"/>
        <v>292</v>
      </c>
      <c r="AM169" s="899">
        <f t="shared" si="77"/>
        <v>292</v>
      </c>
      <c r="AN169" s="899">
        <f t="shared" si="77"/>
        <v>292</v>
      </c>
      <c r="AO169" s="899">
        <f t="shared" si="77"/>
        <v>292</v>
      </c>
      <c r="AP169" s="899">
        <f t="shared" si="77"/>
        <v>292</v>
      </c>
      <c r="AQ169" s="899">
        <f t="shared" si="77"/>
        <v>292</v>
      </c>
      <c r="AR169" s="899">
        <f t="shared" si="77"/>
        <v>292</v>
      </c>
      <c r="AS169" s="899">
        <f t="shared" si="77"/>
        <v>292</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25">
      <c r="C170" s="1289" t="str">
        <f>IF(ISBLANK(Z48),C48,Z48)</f>
        <v>Dallas</v>
      </c>
      <c r="D170" s="1317" t="str">
        <f>IF(K48="","",K48)</f>
        <v>Data Analyst</v>
      </c>
      <c r="E170" s="1322"/>
      <c r="F170" s="1332">
        <f>IF($E$30="Enter Duration (wks)","",IF($Y48="Enter Hrs/Wk","",IF($E$30&gt;='FORMULA REFS'!A$1,$Y48,"")))</f>
        <v>40</v>
      </c>
      <c r="G170" s="1324"/>
      <c r="H170" s="1333"/>
      <c r="I170" s="1325">
        <f>IF($E$30="Enter Duration (wks)","",IF($Y48="Enter Hrs/Wk","",IF($E$30&gt;='FORMULA REFS'!B$1,$Y48,"")))</f>
        <v>40</v>
      </c>
      <c r="J170" s="1325"/>
      <c r="K170" s="1325">
        <f>IF($E$30="Enter Duration (wks)","",IF($Y48="Enter Hrs/Wk","",IF($E$30&gt;='FORMULA REFS'!C$1,$Y48,"")))</f>
        <v>40</v>
      </c>
      <c r="L170" s="1325">
        <f>IF($E$30="Enter Duration (wks)","",IF($Y48="Enter Hrs/Wk","",IF($E$30&gt;='FORMULA REFS'!D$1,$Y48,"")))</f>
        <v>40</v>
      </c>
      <c r="M170" s="1325">
        <f>IF($E$30="Enter Duration (wks)","",IF($Y48="Enter Hrs/Wk","",IF($E$30&gt;='FORMULA REFS'!E$1,$Y48,"")))</f>
        <v>40</v>
      </c>
      <c r="N170" s="1325">
        <f>IF($E$30="Enter Duration (wks)","",IF($Y48="Enter Hrs/Wk","",IF($E$30&gt;='FORMULA REFS'!F$1,$Y48,"")))</f>
        <v>40</v>
      </c>
      <c r="O170" s="1325">
        <f>IF($E$30="Enter Duration (wks)","",IF($Y48="Enter Hrs/Wk","",IF($E$30&gt;='FORMULA REFS'!G$1,$Y48,"")))</f>
        <v>40</v>
      </c>
      <c r="P170" s="1325">
        <f>IF($E$30="Enter Duration (wks)","",IF($Y48="Enter Hrs/Wk","",IF($E$30&gt;='FORMULA REFS'!H$1,$Y48,"")))</f>
        <v>40</v>
      </c>
      <c r="Q170" s="1325">
        <f>IF($E$30="Enter Duration (wks)","",IF($Y48="Enter Hrs/Wk","",IF($E$30&gt;='FORMULA REFS'!I$1,$Y48,"")))</f>
        <v>40</v>
      </c>
      <c r="R170" s="1325">
        <f>IF($E$30="Enter Duration (wks)","",IF($Y48="Enter Hrs/Wk","",IF($E$30&gt;='FORMULA REFS'!J$1,$Y48,"")))</f>
        <v>40</v>
      </c>
      <c r="S170" s="1325">
        <f>IF($E$30="Enter Duration (wks)","",IF($Y48="Enter Hrs/Wk","",IF($E$30&gt;='FORMULA REFS'!K$1,$Y48,"")))</f>
        <v>40</v>
      </c>
      <c r="T170" s="1333">
        <f>IF($E$30="Enter Duration (wks)","",IF($Y48="Enter Hrs/Wk","",IF($E$30&gt;='FORMULA REFS'!L$1,$Y48,"")))</f>
        <v>40</v>
      </c>
      <c r="U170" s="1333">
        <f>IF($E$30="Enter Duration (wks)","",IF($Y48="Enter Hrs/Wk","",IF($E$30&gt;='FORMULA REFS'!M$1,$Y48,"")))</f>
        <v>40</v>
      </c>
      <c r="V170" s="1333"/>
      <c r="W170" s="900"/>
      <c r="X170" s="1288"/>
      <c r="Y170" s="1288">
        <f>IF($E$30="Enter Duration (wks)","",IF($Y48="Enter Hrs/Wk","",IF($E$30&gt;='FORMULA REFS'!N$1,$Y48,"")))</f>
        <v>40</v>
      </c>
      <c r="Z170" s="1288">
        <f>IF($E$30="Enter Duration (wks)","",IF($Y48="Enter Hrs/Wk","",IF($E$30&gt;='FORMULA REFS'!O$1,$Y48,"")))</f>
        <v>40</v>
      </c>
      <c r="AA170" s="1288">
        <f>IF($E$30="Enter Duration (wks)","",IF($Y48="Enter Hrs/Wk","",IF($E$30&gt;='FORMULA REFS'!P$1,$Y48,"")))</f>
        <v>40</v>
      </c>
      <c r="AB170" s="1288">
        <f>IF($E$30="Enter Duration (wks)","",IF($Y48="Enter Hrs/Wk","",IF($E$30&gt;='FORMULA REFS'!Q$1,$Y48,"")))</f>
        <v>40</v>
      </c>
      <c r="AC170" s="1286"/>
      <c r="AD170" s="1286"/>
      <c r="AE170" s="1286"/>
      <c r="AF170" s="1286"/>
      <c r="AG170" s="1286">
        <f>IF($E$30="Enter Duration (wks)","",IF($Y48="Enter Hrs/Wk","",IF($E$30&gt;='FORMULA REFS'!R$1,$Y48,"")))</f>
        <v>40</v>
      </c>
      <c r="AH170" s="1286">
        <f>IF($E$30="Enter Duration (wks)","",IF($Y48="Enter Hrs/Wk","",IF($E$30&gt;='FORMULA REFS'!S$1,$Y48,"")))</f>
        <v>40</v>
      </c>
      <c r="AI170" s="1286">
        <f>IF($E$30="Enter Duration (wks)","",IF($Y48="Enter Hrs/Wk","",IF($E$30&gt;='FORMULA REFS'!T$1,$Y48,"")))</f>
        <v>40</v>
      </c>
      <c r="AJ170" s="1286">
        <f>IF($E$30="Enter Duration (wks)","",IF($Y48="Enter Hrs/Wk","",IF($E$30&gt;='FORMULA REFS'!U$1,$Y48,"")))</f>
        <v>40</v>
      </c>
      <c r="AK170" s="1286">
        <f>IF($E$30="Enter Duration (wks)","",IF($Y48="Enter Hrs/Wk","",IF($E$30&gt;='FORMULA REFS'!V$1,$Y48,"")))</f>
        <v>40</v>
      </c>
      <c r="AL170" s="1286">
        <f>IF($E$30="Enter Duration (wks)","",IF($Y48="Enter Hrs/Wk","",IF($E$30&gt;='FORMULA REFS'!W$1,$Y48,"")))</f>
        <v>40</v>
      </c>
      <c r="AM170" s="1286">
        <f>IF($E$30="Enter Duration (wks)","",IF($Y48="Enter Hrs/Wk","",IF($E$30&gt;='FORMULA REFS'!X$1,$Y48,"")))</f>
        <v>40</v>
      </c>
      <c r="AN170" s="1286">
        <f>IF($E$30="Enter Duration (wks)","",IF($Y48="Enter Hrs/Wk","",IF($E$30&gt;='FORMULA REFS'!Y$1,$Y48,"")))</f>
        <v>40</v>
      </c>
      <c r="AO170" s="1286">
        <f>IF($E$30="Enter Duration (wks)","",IF($Y48="Enter Hrs/Wk","",IF($E$30&gt;='FORMULA REFS'!Z$1,$Y48,"")))</f>
        <v>40</v>
      </c>
      <c r="AP170" s="1286">
        <f>IF($E$30="Enter Duration (wks)","",IF($Y48="Enter Hrs/Wk","",IF($E$30&gt;='FORMULA REFS'!AA$1,$Y48,"")))</f>
        <v>40</v>
      </c>
      <c r="AQ170" s="1286">
        <f>IF($E$30="Enter Duration (wks)","",IF($Y48="Enter Hrs/Wk","",IF($E$30&gt;='FORMULA REFS'!AB$1,$Y48,"")))</f>
        <v>40</v>
      </c>
      <c r="AR170" s="1286">
        <f>IF($E$30="Enter Duration (wks)","",IF($Y48="Enter Hrs/Wk","",IF($E$30&gt;='FORMULA REFS'!AC$1,$Y48,"")))</f>
        <v>40</v>
      </c>
      <c r="AS170" s="1286">
        <f>IF($E$30="Enter Duration (wks)","",IF($Y48="Enter Hrs/Wk","",IF($E$30&gt;='FORMULA REFS'!AD$1,$Y48,"")))</f>
        <v>40</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25">
      <c r="C171" s="1290" t="str">
        <f t="shared" ref="C171:C202" si="80">IF(ISBLANK(C49),"",C49)</f>
        <v>TADIndia</v>
      </c>
      <c r="D171" s="1318" t="str">
        <f>IF(K49="","",K49)</f>
        <v>Data Analyst</v>
      </c>
      <c r="E171" s="1326"/>
      <c r="F171" s="1327"/>
      <c r="G171" s="1327"/>
      <c r="H171" s="1570"/>
      <c r="I171" s="1329"/>
      <c r="J171" s="1316"/>
      <c r="K171" s="1286"/>
      <c r="L171" s="1331"/>
      <c r="M171" s="1331">
        <f>IF($E$30="Enter Duration (wks)","",IF($Y49="Enter Hrs/Wk","",IF($E$30&gt;='FORMULA REFS'!E$1,$Y49,"")))</f>
        <v>40</v>
      </c>
      <c r="N171" s="1331">
        <f>IF($E$30="Enter Duration (wks)","",IF($Y49="Enter Hrs/Wk","",IF($E$30&gt;='FORMULA REFS'!F$1,$Y49,"")))</f>
        <v>40</v>
      </c>
      <c r="O171" s="1331">
        <f>IF($E$30="Enter Duration (wks)","",IF($Y49="Enter Hrs/Wk","",IF($E$30&gt;='FORMULA REFS'!G$1,$Y49,"")))</f>
        <v>40</v>
      </c>
      <c r="P171" s="1331">
        <f>IF($E$30="Enter Duration (wks)","",IF($Y49="Enter Hrs/Wk","",IF($E$30&gt;='FORMULA REFS'!H$1,$Y49,"")))</f>
        <v>40</v>
      </c>
      <c r="Q171" s="1331">
        <f>IF($E$30="Enter Duration (wks)","",IF($Y49="Enter Hrs/Wk","",IF($E$30&gt;='FORMULA REFS'!I$1,$Y49,"")))</f>
        <v>40</v>
      </c>
      <c r="R171" s="1331">
        <f>IF($E$30="Enter Duration (wks)","",IF($Y49="Enter Hrs/Wk","",IF($E$30&gt;='FORMULA REFS'!J$1,$Y49,"")))</f>
        <v>40</v>
      </c>
      <c r="S171" s="1331">
        <f>IF($E$30="Enter Duration (wks)","",IF($Y49="Enter Hrs/Wk","",IF($E$30&gt;='FORMULA REFS'!K$1,$Y49,"")))</f>
        <v>40</v>
      </c>
      <c r="T171" s="1316">
        <f>IF($E$30="Enter Duration (wks)","",IF($Y49="Enter Hrs/Wk","",IF($E$30&gt;='FORMULA REFS'!L$1,$Y49,"")))</f>
        <v>40</v>
      </c>
      <c r="U171" s="882">
        <f>IF($E$30="Enter Duration (wks)","",IF($Y49="Enter Hrs/Wk","",IF($E$30&gt;='FORMULA REFS'!M$1,$Y49,"")))</f>
        <v>40</v>
      </c>
      <c r="V171" s="1331"/>
      <c r="W171" s="1331"/>
      <c r="X171" s="1285"/>
      <c r="Y171" s="1285"/>
      <c r="Z171" s="1343"/>
      <c r="AA171" s="882"/>
      <c r="AB171" s="882"/>
      <c r="AC171" s="882"/>
      <c r="AD171" s="882"/>
      <c r="AE171" s="882"/>
      <c r="AF171" s="882"/>
      <c r="AG171" s="1286">
        <f>IF($E$30="Enter Duration (wks)","",IF($Y49="Enter Hrs/Wk","",IF($E$30&gt;='FORMULA REFS'!R$1,$Y49,"")))</f>
        <v>40</v>
      </c>
      <c r="AH171" s="1286">
        <f>IF($E$30="Enter Duration (wks)","",IF($Y49="Enter Hrs/Wk","",IF($E$30&gt;='FORMULA REFS'!S$1,$Y49,"")))</f>
        <v>40</v>
      </c>
      <c r="AI171" s="1286">
        <f>IF($E$30="Enter Duration (wks)","",IF($Y49="Enter Hrs/Wk","",IF($E$30&gt;='FORMULA REFS'!T$1,$Y49,"")))</f>
        <v>40</v>
      </c>
      <c r="AJ171" s="1286">
        <f>IF($E$30="Enter Duration (wks)","",IF($Y49="Enter Hrs/Wk","",IF($E$30&gt;='FORMULA REFS'!U$1,$Y49,"")))</f>
        <v>40</v>
      </c>
      <c r="AK171" s="1286">
        <f>IF($E$30="Enter Duration (wks)","",IF($Y49="Enter Hrs/Wk","",IF($E$30&gt;='FORMULA REFS'!V$1,$Y49,"")))</f>
        <v>40</v>
      </c>
      <c r="AL171" s="1286">
        <f>IF($E$30="Enter Duration (wks)","",IF($Y49="Enter Hrs/Wk","",IF($E$30&gt;='FORMULA REFS'!W$1,$Y49,"")))</f>
        <v>40</v>
      </c>
      <c r="AM171" s="1286">
        <f>IF($E$30="Enter Duration (wks)","",IF($Y49="Enter Hrs/Wk","",IF($E$30&gt;='FORMULA REFS'!X$1,$Y49,"")))</f>
        <v>40</v>
      </c>
      <c r="AN171" s="1286">
        <f>IF($E$30="Enter Duration (wks)","",IF($Y49="Enter Hrs/Wk","",IF($E$30&gt;='FORMULA REFS'!Y$1,$Y49,"")))</f>
        <v>40</v>
      </c>
      <c r="AO171" s="1286">
        <f>IF($E$30="Enter Duration (wks)","",IF($Y49="Enter Hrs/Wk","",IF($E$30&gt;='FORMULA REFS'!Z$1,$Y49,"")))</f>
        <v>40</v>
      </c>
      <c r="AP171" s="1286">
        <f>IF($E$30="Enter Duration (wks)","",IF($Y49="Enter Hrs/Wk","",IF($E$30&gt;='FORMULA REFS'!AA$1,$Y49,"")))</f>
        <v>40</v>
      </c>
      <c r="AQ171" s="1286">
        <f>IF($E$30="Enter Duration (wks)","",IF($Y49="Enter Hrs/Wk","",IF($E$30&gt;='FORMULA REFS'!AB$1,$Y49,"")))</f>
        <v>40</v>
      </c>
      <c r="AR171" s="1286">
        <f>IF($E$30="Enter Duration (wks)","",IF($Y49="Enter Hrs/Wk","",IF($E$30&gt;='FORMULA REFS'!AC$1,$Y49,"")))</f>
        <v>40</v>
      </c>
      <c r="AS171" s="1286">
        <f>IF($E$30="Enter Duration (wks)","",IF($Y49="Enter Hrs/Wk","",IF($E$30&gt;='FORMULA REFS'!AD$1,$Y49,"")))</f>
        <v>40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25">
      <c r="C172" s="1290" t="str">
        <f t="shared" si="80"/>
        <v>TADNorthAmerica</v>
      </c>
      <c r="D172" s="1318" t="str">
        <f>IF(K50="","",K50)</f>
        <v>UX Designer</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25">
      <c r="C173" s="1290" t="str">
        <f t="shared" si="80"/>
        <v>TADIndia</v>
      </c>
      <c r="D173" s="1318" t="str">
        <f>IF(K51="","",K51)</f>
        <v>UX Designer</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25">
      <c r="C174" s="1291" t="str">
        <f t="shared" si="80"/>
        <v>TADNorthAmerica</v>
      </c>
      <c r="D174" s="1318" t="str">
        <f t="shared" ref="D174:D237" si="81">IF(K52="","",K52)</f>
        <v>Technical Lead</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25">
      <c r="C175" s="1291" t="str">
        <f t="shared" si="80"/>
        <v>TADIndia</v>
      </c>
      <c r="D175" s="1318" t="str">
        <f t="shared" si="81"/>
        <v>Associate DevOps Engineer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25">
      <c r="C176" s="1291" t="str">
        <f t="shared" si="80"/>
        <v>TADIndia</v>
      </c>
      <c r="D176" s="1318" t="str">
        <f t="shared" si="81"/>
        <v>Sr. Developer</v>
      </c>
      <c r="E176" s="1326"/>
      <c r="F176" s="1327">
        <f>IF($E$30="Enter Duration (wks)","",IF($Y54="Enter Hrs/Wk","",IF($E$30&gt;='FORMULA REFS'!A$1,$Y54,"")))</f>
        <v>40</v>
      </c>
      <c r="G176" s="1328"/>
      <c r="H176" s="1570"/>
      <c r="I176" s="1329">
        <f>IF($E$30="Enter Duration (wks)","",IF($Y54="Enter Hrs/Wk","",IF($E$30&gt;='FORMULA REFS'!B$1,$Y54,"")))</f>
        <v>40</v>
      </c>
      <c r="J176" s="1323"/>
      <c r="K176" s="1286">
        <f>IF($E$30="Enter Duration (wks)","",IF($Y54="Enter Hrs/Wk","",IF($E$30&gt;='FORMULA REFS'!C$1,$Y54,"")))</f>
        <v>40</v>
      </c>
      <c r="L176" s="882">
        <f>IF($E$30="Enter Duration (wks)","",IF($Y54="Enter Hrs/Wk","",IF($E$30&gt;='FORMULA REFS'!D$1,$Y54,"")))</f>
        <v>40</v>
      </c>
      <c r="M176" s="882">
        <f>IF($E$30="Enter Duration (wks)","",IF($Y54="Enter Hrs/Wk","",IF($E$30&gt;='FORMULA REFS'!E$1,$Y54,"")))</f>
        <v>40</v>
      </c>
      <c r="N176" s="882">
        <f>IF($E$30="Enter Duration (wks)","",IF($Y54="Enter Hrs/Wk","",IF($E$30&gt;='FORMULA REFS'!F$1,$Y54,"")))</f>
        <v>40</v>
      </c>
      <c r="O176" s="882">
        <f>IF($E$30="Enter Duration (wks)","",IF($Y54="Enter Hrs/Wk","",IF($E$30&gt;='FORMULA REFS'!G$1,$Y54,"")))</f>
        <v>40</v>
      </c>
      <c r="P176" s="882">
        <f>IF($E$30="Enter Duration (wks)","",IF($Y54="Enter Hrs/Wk","",IF($E$30&gt;='FORMULA REFS'!H$1,$Y54,"")))</f>
        <v>40</v>
      </c>
      <c r="Q176" s="882">
        <f>IF($E$30="Enter Duration (wks)","",IF($Y54="Enter Hrs/Wk","",IF($E$30&gt;='FORMULA REFS'!I$1,$Y54,"")))</f>
        <v>40</v>
      </c>
      <c r="R176" s="882">
        <f>IF($E$30="Enter Duration (wks)","",IF($Y54="Enter Hrs/Wk","",IF($E$30&gt;='FORMULA REFS'!J$1,$Y54,"")))</f>
        <v>40</v>
      </c>
      <c r="S176" s="882">
        <f>IF($E$30="Enter Duration (wks)","",IF($Y54="Enter Hrs/Wk","",IF($E$30&gt;='FORMULA REFS'!K$1,$Y54,"")))</f>
        <v>40</v>
      </c>
      <c r="T176" s="1323">
        <f>IF($E$30="Enter Duration (wks)","",IF($Y54="Enter Hrs/Wk","",IF($E$30&gt;='FORMULA REFS'!L$1,$Y54,"")))</f>
        <v>40</v>
      </c>
      <c r="U176" s="882">
        <f>IF($E$30="Enter Duration (wks)","",IF($Y54="Enter Hrs/Wk","",IF($E$30&gt;='FORMULA REFS'!M$1,$Y54,"")))</f>
        <v>40</v>
      </c>
      <c r="V176" s="882"/>
      <c r="W176" s="882"/>
      <c r="X176" s="1285"/>
      <c r="Y176" s="1285">
        <f>IF($E$30="Enter Duration (wks)","",IF($Y54="Enter Hrs/Wk","",IF($E$30&gt;='FORMULA REFS'!N$1,$Y54,"")))</f>
        <v>40</v>
      </c>
      <c r="Z176" s="1343">
        <f>IF($E$30="Enter Duration (wks)","",IF($Y54="Enter Hrs/Wk","",IF($E$30&gt;='FORMULA REFS'!O$1,$Y54,"")))</f>
        <v>40</v>
      </c>
      <c r="AA176" s="882">
        <f>IF($E$30="Enter Duration (wks)","",IF($Y54="Enter Hrs/Wk","",IF($E$30&gt;='FORMULA REFS'!P$1,$Y54,"")))</f>
        <v>40</v>
      </c>
      <c r="AB176" s="882">
        <f>IF($E$30="Enter Duration (wks)","",IF($Y54="Enter Hrs/Wk","",IF($E$30&gt;='FORMULA REFS'!Q$1,$Y54,"")))</f>
        <v>40</v>
      </c>
      <c r="AC176" s="882"/>
      <c r="AD176" s="882"/>
      <c r="AE176" s="882"/>
      <c r="AF176" s="882"/>
      <c r="AG176" s="1286">
        <f>IF($E$30="Enter Duration (wks)","",IF($Y54="Enter Hrs/Wk","",IF($E$30&gt;='FORMULA REFS'!R$1,$Y54,"")))</f>
        <v>40</v>
      </c>
      <c r="AH176" s="1286">
        <f>IF($E$30="Enter Duration (wks)","",IF($Y54="Enter Hrs/Wk","",IF($E$30&gt;='FORMULA REFS'!S$1,$Y54,"")))</f>
        <v>40</v>
      </c>
      <c r="AI176" s="1286">
        <f>IF($E$30="Enter Duration (wks)","",IF($Y54="Enter Hrs/Wk","",IF($E$30&gt;='FORMULA REFS'!T$1,$Y54,"")))</f>
        <v>40</v>
      </c>
      <c r="AJ176" s="1286">
        <f>IF($E$30="Enter Duration (wks)","",IF($Y54="Enter Hrs/Wk","",IF($E$30&gt;='FORMULA REFS'!U$1,$Y54,"")))</f>
        <v>40</v>
      </c>
      <c r="AK176" s="1286">
        <f>IF($E$30="Enter Duration (wks)","",IF($Y54="Enter Hrs/Wk","",IF($E$30&gt;='FORMULA REFS'!V$1,$Y54,"")))</f>
        <v>40</v>
      </c>
      <c r="AL176" s="1286">
        <f>IF($E$30="Enter Duration (wks)","",IF($Y54="Enter Hrs/Wk","",IF($E$30&gt;='FORMULA REFS'!W$1,$Y54,"")))</f>
        <v>40</v>
      </c>
      <c r="AM176" s="1286">
        <f>IF($E$30="Enter Duration (wks)","",IF($Y54="Enter Hrs/Wk","",IF($E$30&gt;='FORMULA REFS'!X$1,$Y54,"")))</f>
        <v>40</v>
      </c>
      <c r="AN176" s="1286">
        <f>IF($E$30="Enter Duration (wks)","",IF($Y54="Enter Hrs/Wk","",IF($E$30&gt;='FORMULA REFS'!Y$1,$Y54,"")))</f>
        <v>40</v>
      </c>
      <c r="AO176" s="1286">
        <f>IF($E$30="Enter Duration (wks)","",IF($Y54="Enter Hrs/Wk","",IF($E$30&gt;='FORMULA REFS'!Z$1,$Y54,"")))</f>
        <v>40</v>
      </c>
      <c r="AP176" s="1286">
        <f>IF($E$30="Enter Duration (wks)","",IF($Y54="Enter Hrs/Wk","",IF($E$30&gt;='FORMULA REFS'!AA$1,$Y54,"")))</f>
        <v>40</v>
      </c>
      <c r="AQ176" s="1286">
        <f>IF($E$30="Enter Duration (wks)","",IF($Y54="Enter Hrs/Wk","",IF($E$30&gt;='FORMULA REFS'!AB$1,$Y54,"")))</f>
        <v>40</v>
      </c>
      <c r="AR176" s="1286">
        <f>IF($E$30="Enter Duration (wks)","",IF($Y54="Enter Hrs/Wk","",IF($E$30&gt;='FORMULA REFS'!AC$1,$Y54,"")))</f>
        <v>40</v>
      </c>
      <c r="AS176" s="1286">
        <f>IF($E$30="Enter Duration (wks)","",IF($Y54="Enter Hrs/Wk","",IF($E$30&gt;='FORMULA REFS'!AD$1,$Y54,"")))</f>
        <v>40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25">
      <c r="C177" s="1291" t="str">
        <f t="shared" si="80"/>
        <v>TADIndia</v>
      </c>
      <c r="D177" s="1318" t="str">
        <f t="shared" si="81"/>
        <v>Delivery Manager</v>
      </c>
      <c r="E177" s="1326"/>
      <c r="F177" s="1327">
        <f>IF($E$30="Enter Duration (wks)","",IF($Y55="Enter Hrs/Wk","",IF($E$30&gt;='FORMULA REFS'!A$1,$Y55,"")))</f>
        <v>20</v>
      </c>
      <c r="G177" s="1328"/>
      <c r="H177" s="1570"/>
      <c r="I177" s="1329">
        <f>IF($E$30="Enter Duration (wks)","",IF($Y55="Enter Hrs/Wk","",IF($E$30&gt;='FORMULA REFS'!B$1,$Y55,"")))</f>
        <v>20</v>
      </c>
      <c r="J177" s="1323"/>
      <c r="K177" s="1286">
        <f>IF($E$30="Enter Duration (wks)","",IF($Y55="Enter Hrs/Wk","",IF($E$30&gt;='FORMULA REFS'!C$1,$Y55,"")))</f>
        <v>20</v>
      </c>
      <c r="L177" s="882">
        <f>IF($E$30="Enter Duration (wks)","",IF($Y55="Enter Hrs/Wk","",IF($E$30&gt;='FORMULA REFS'!D$1,$Y55,"")))</f>
        <v>20</v>
      </c>
      <c r="M177" s="882">
        <f>IF($E$30="Enter Duration (wks)","",IF($Y55="Enter Hrs/Wk","",IF($E$30&gt;='FORMULA REFS'!E$1,$Y55,"")))</f>
        <v>20</v>
      </c>
      <c r="N177" s="882">
        <f>IF($E$30="Enter Duration (wks)","",IF($Y55="Enter Hrs/Wk","",IF($E$30&gt;='FORMULA REFS'!F$1,$Y55,"")))</f>
        <v>20</v>
      </c>
      <c r="O177" s="882">
        <f>IF($E$30="Enter Duration (wks)","",IF($Y55="Enter Hrs/Wk","",IF($E$30&gt;='FORMULA REFS'!G$1,$Y55,"")))</f>
        <v>20</v>
      </c>
      <c r="P177" s="882">
        <f>IF($E$30="Enter Duration (wks)","",IF($Y55="Enter Hrs/Wk","",IF($E$30&gt;='FORMULA REFS'!H$1,$Y55,"")))</f>
        <v>20</v>
      </c>
      <c r="Q177" s="882">
        <f>IF($E$30="Enter Duration (wks)","",IF($Y55="Enter Hrs/Wk","",IF($E$30&gt;='FORMULA REFS'!I$1,$Y55,"")))</f>
        <v>20</v>
      </c>
      <c r="R177" s="882">
        <f>IF($E$30="Enter Duration (wks)","",IF($Y55="Enter Hrs/Wk","",IF($E$30&gt;='FORMULA REFS'!J$1,$Y55,"")))</f>
        <v>20</v>
      </c>
      <c r="S177" s="882">
        <f>IF($E$30="Enter Duration (wks)","",IF($Y55="Enter Hrs/Wk","",IF($E$30&gt;='FORMULA REFS'!K$1,$Y55,"")))</f>
        <v>20</v>
      </c>
      <c r="T177" s="1323">
        <f>IF($E$30="Enter Duration (wks)","",IF($Y55="Enter Hrs/Wk","",IF($E$30&gt;='FORMULA REFS'!L$1,$Y55,"")))</f>
        <v>20</v>
      </c>
      <c r="U177" s="882">
        <f>IF($E$30="Enter Duration (wks)","",IF($Y55="Enter Hrs/Wk","",IF($E$30&gt;='FORMULA REFS'!M$1,$Y55,"")))</f>
        <v>20</v>
      </c>
      <c r="V177" s="882"/>
      <c r="W177" s="882"/>
      <c r="X177" s="1285"/>
      <c r="Y177" s="1285">
        <f>IF($E$30="Enter Duration (wks)","",IF($Y55="Enter Hrs/Wk","",IF($E$30&gt;='FORMULA REFS'!N$1,$Y55,"")))</f>
        <v>20</v>
      </c>
      <c r="Z177" s="1343">
        <f>IF($E$30="Enter Duration (wks)","",IF($Y55="Enter Hrs/Wk","",IF($E$30&gt;='FORMULA REFS'!O$1,$Y55,"")))</f>
        <v>20</v>
      </c>
      <c r="AA177" s="882">
        <f>IF($E$30="Enter Duration (wks)","",IF($Y55="Enter Hrs/Wk","",IF($E$30&gt;='FORMULA REFS'!P$1,$Y55,"")))</f>
        <v>20</v>
      </c>
      <c r="AB177" s="882">
        <f>IF($E$30="Enter Duration (wks)","",IF($Y55="Enter Hrs/Wk","",IF($E$30&gt;='FORMULA REFS'!Q$1,$Y55,"")))</f>
        <v>20</v>
      </c>
      <c r="AC177" s="882"/>
      <c r="AD177" s="882"/>
      <c r="AE177" s="882"/>
      <c r="AF177" s="882"/>
      <c r="AG177" s="1286">
        <f>IF($E$30="Enter Duration (wks)","",IF($Y55="Enter Hrs/Wk","",IF($E$30&gt;='FORMULA REFS'!R$1,$Y55,"")))</f>
        <v>20</v>
      </c>
      <c r="AH177" s="1286">
        <f>IF($E$30="Enter Duration (wks)","",IF($Y55="Enter Hrs/Wk","",IF($E$30&gt;='FORMULA REFS'!S$1,$Y55,"")))</f>
        <v>20</v>
      </c>
      <c r="AI177" s="1286">
        <f>IF($E$30="Enter Duration (wks)","",IF($Y55="Enter Hrs/Wk","",IF($E$30&gt;='FORMULA REFS'!T$1,$Y55,"")))</f>
        <v>20</v>
      </c>
      <c r="AJ177" s="1286">
        <f>IF($E$30="Enter Duration (wks)","",IF($Y55="Enter Hrs/Wk","",IF($E$30&gt;='FORMULA REFS'!U$1,$Y55,"")))</f>
        <v>20</v>
      </c>
      <c r="AK177" s="1286">
        <f>IF($E$30="Enter Duration (wks)","",IF($Y55="Enter Hrs/Wk","",IF($E$30&gt;='FORMULA REFS'!V$1,$Y55,"")))</f>
        <v>20</v>
      </c>
      <c r="AL177" s="1286">
        <f>IF($E$30="Enter Duration (wks)","",IF($Y55="Enter Hrs/Wk","",IF($E$30&gt;='FORMULA REFS'!W$1,$Y55,"")))</f>
        <v>20</v>
      </c>
      <c r="AM177" s="1286">
        <f>IF($E$30="Enter Duration (wks)","",IF($Y55="Enter Hrs/Wk","",IF($E$30&gt;='FORMULA REFS'!X$1,$Y55,"")))</f>
        <v>20</v>
      </c>
      <c r="AN177" s="1286">
        <f>IF($E$30="Enter Duration (wks)","",IF($Y55="Enter Hrs/Wk","",IF($E$30&gt;='FORMULA REFS'!Y$1,$Y55,"")))</f>
        <v>20</v>
      </c>
      <c r="AO177" s="1286">
        <f>IF($E$30="Enter Duration (wks)","",IF($Y55="Enter Hrs/Wk","",IF($E$30&gt;='FORMULA REFS'!Z$1,$Y55,"")))</f>
        <v>20</v>
      </c>
      <c r="AP177" s="1286">
        <f>IF($E$30="Enter Duration (wks)","",IF($Y55="Enter Hrs/Wk","",IF($E$30&gt;='FORMULA REFS'!AA$1,$Y55,"")))</f>
        <v>20</v>
      </c>
      <c r="AQ177" s="1286">
        <f>IF($E$30="Enter Duration (wks)","",IF($Y55="Enter Hrs/Wk","",IF($E$30&gt;='FORMULA REFS'!AB$1,$Y55,"")))</f>
        <v>20</v>
      </c>
      <c r="AR177" s="1286">
        <f>IF($E$30="Enter Duration (wks)","",IF($Y55="Enter Hrs/Wk","",IF($E$30&gt;='FORMULA REFS'!AC$1,$Y55,"")))</f>
        <v>20</v>
      </c>
      <c r="AS177" s="1286">
        <f>IF($E$30="Enter Duration (wks)","",IF($Y55="Enter Hrs/Wk","",IF($E$30&gt;='FORMULA REFS'!AD$1,$Y55,"")))</f>
        <v>20</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25">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25">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25">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25">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25">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25">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25">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25">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25">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726"/>
      <c r="BY186" s="1726"/>
      <c r="BZ186" s="1726"/>
      <c r="CA186" s="1726"/>
      <c r="CB186" s="413"/>
      <c r="CC186" s="413"/>
      <c r="CD186" s="413"/>
      <c r="CE186" s="413"/>
      <c r="CF186" s="413"/>
      <c r="CG186" s="523"/>
      <c r="CH186" s="523"/>
      <c r="CI186" s="523"/>
      <c r="CJ186" s="523"/>
      <c r="CK186" s="523"/>
      <c r="CL186" s="413"/>
      <c r="CM186" s="413"/>
      <c r="CN186" s="413"/>
      <c r="CO186" s="413"/>
      <c r="CP186" s="413"/>
      <c r="CQ186" s="413"/>
    </row>
    <row r="187" spans="3:95" x14ac:dyDescent="0.25">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726"/>
      <c r="BY187" s="1726"/>
      <c r="BZ187" s="1726"/>
      <c r="CA187" s="1726"/>
      <c r="CB187" s="413"/>
      <c r="CC187" s="413"/>
      <c r="CD187" s="413"/>
      <c r="CE187" s="413"/>
      <c r="CF187" s="413"/>
      <c r="CG187" s="523"/>
      <c r="CH187" s="523"/>
      <c r="CI187" s="523"/>
      <c r="CJ187" s="523"/>
      <c r="CK187" s="523"/>
      <c r="CL187" s="413"/>
      <c r="CM187" s="413"/>
      <c r="CN187" s="413"/>
      <c r="CO187" s="413"/>
      <c r="CP187" s="413"/>
      <c r="CQ187" s="413"/>
    </row>
    <row r="188" spans="3:95" x14ac:dyDescent="0.25">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25">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25">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25">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25">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25">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25">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3.95" hidden="1" customHeight="1" outlineLevel="1" x14ac:dyDescent="0.25">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3.95" hidden="1" customHeight="1" outlineLevel="1" x14ac:dyDescent="0.25">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3.95" hidden="1" customHeight="1" outlineLevel="1" x14ac:dyDescent="0.25">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3.95" hidden="1" customHeight="1" outlineLevel="1" x14ac:dyDescent="0.25">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3.95" hidden="1" customHeight="1" outlineLevel="1" x14ac:dyDescent="0.25">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3.95" hidden="1" customHeight="1" outlineLevel="1" x14ac:dyDescent="0.25">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3.95" hidden="1" customHeight="1" outlineLevel="1" x14ac:dyDescent="0.25">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3.95" hidden="1" customHeight="1" outlineLevel="1" x14ac:dyDescent="0.25">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3.95" hidden="1" customHeight="1" outlineLevel="1" x14ac:dyDescent="0.25">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3.95" hidden="1" customHeight="1" outlineLevel="1" x14ac:dyDescent="0.25">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3.95" hidden="1" customHeight="1" outlineLevel="1" x14ac:dyDescent="0.25">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3.95" hidden="1" customHeight="1" outlineLevel="1" x14ac:dyDescent="0.25">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3.95" hidden="1" customHeight="1" outlineLevel="1" x14ac:dyDescent="0.25">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3.95" hidden="1" customHeight="1" outlineLevel="1" x14ac:dyDescent="0.25">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3.95" hidden="1" customHeight="1" outlineLevel="1" x14ac:dyDescent="0.25">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3.95" hidden="1" customHeight="1" outlineLevel="1" x14ac:dyDescent="0.25">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3.95" hidden="1" customHeight="1" outlineLevel="1" x14ac:dyDescent="0.25">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3.95" hidden="1" customHeight="1" outlineLevel="1" x14ac:dyDescent="0.25">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3.95" hidden="1" customHeight="1" outlineLevel="1" x14ac:dyDescent="0.25">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3.95" hidden="1" customHeight="1" outlineLevel="1" x14ac:dyDescent="0.25">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3.95" hidden="1" customHeight="1" outlineLevel="1" x14ac:dyDescent="0.25">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3.95" hidden="1" customHeight="1" outlineLevel="1" x14ac:dyDescent="0.25">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3.95" hidden="1" customHeight="1" outlineLevel="1" x14ac:dyDescent="0.25">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3.95" hidden="1" customHeight="1" outlineLevel="1" x14ac:dyDescent="0.25">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3.95" hidden="1" customHeight="1" outlineLevel="1" x14ac:dyDescent="0.25">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3.95" hidden="1" customHeight="1" outlineLevel="1" x14ac:dyDescent="0.25">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3.95" hidden="1" customHeight="1" outlineLevel="1" x14ac:dyDescent="0.25">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3.95" hidden="1" customHeight="1" outlineLevel="1" x14ac:dyDescent="0.25">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3.95" hidden="1" customHeight="1" outlineLevel="1" x14ac:dyDescent="0.25">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3.95" hidden="1" customHeight="1" outlineLevel="1" x14ac:dyDescent="0.25">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25">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25">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25">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25">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25">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25">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25">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25">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25">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25">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25">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25">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25">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25">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25">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25">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25">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25">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25">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25">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25">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25">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25">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25">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25">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25">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25">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25">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25">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25">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25">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25">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25">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25">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25">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25">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25">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25">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25">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25">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25">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25">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25">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25">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25">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25">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25">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7.950000000000003" customHeight="1" x14ac:dyDescent="0.25">
      <c r="C272" s="1685" t="s">
        <v>3172</v>
      </c>
      <c r="D272" s="1686"/>
      <c r="E272" s="711" t="str">
        <f>IF(E169=0," ",(SUM($D$169:E169))/$M$289)</f>
        <v xml:space="preserve"> </v>
      </c>
      <c r="F272" s="1569">
        <f>IF(F169=0," ",(SUM($D$169:F169))/$M$289)</f>
        <v>2.985781990521327E-2</v>
      </c>
      <c r="G272" s="1569" t="str">
        <f>IF(G169=0," ",(SUM($D$169:G169))/$M$289)</f>
        <v xml:space="preserve"> </v>
      </c>
      <c r="H272" s="1569"/>
      <c r="I272" s="1569">
        <f>IF(I169=0," ",(SUM($D$169:I169))/$M$289)</f>
        <v>5.9715639810426539E-2</v>
      </c>
      <c r="J272" s="1569" t="str">
        <f>IF(J169=0," ",(SUM($D$169:J169))/$M$289)</f>
        <v xml:space="preserve"> </v>
      </c>
      <c r="K272" s="1569">
        <f>IF(K169=0," ",(SUM($D$169:K169))/$M$289)</f>
        <v>8.9573459715639805E-2</v>
      </c>
      <c r="L272" s="1569">
        <f>IF(L169=0," ",(SUM($D$169:L169))/$M$289)</f>
        <v>0.11943127962085308</v>
      </c>
      <c r="M272" s="1569">
        <f>IF(M169=0," ",(SUM($D$169:M169))/$M$289)</f>
        <v>0.15402843601895735</v>
      </c>
      <c r="N272" s="1569">
        <f>IF(N169=0," ",(SUM($D$169:N169))/$M$289)</f>
        <v>0.18862559241706162</v>
      </c>
      <c r="O272" s="1569">
        <f>IF(O169=0," ",(SUM($D$169:O169))/$M$289)</f>
        <v>0.22322274881516588</v>
      </c>
      <c r="P272" s="1569">
        <f>IF(P169=0," ",(SUM($D$169:P169))/$M$289)</f>
        <v>0.25781990521327014</v>
      </c>
      <c r="Q272" s="1569">
        <f>IF(Q169=0," ",(SUM($D$169:Q169))/$M$289)</f>
        <v>0.29241706161137443</v>
      </c>
      <c r="R272" s="1569">
        <f>IF(R169=0," ",(SUM($D$169:R169))/$M$289)</f>
        <v>0.32701421800947866</v>
      </c>
      <c r="S272" s="1569">
        <f>IF(S169=0," ",(SUM($D$169:S169))/$M$289)</f>
        <v>0.36161137440758295</v>
      </c>
      <c r="T272" s="1569">
        <f>IF(T169=0," ",(SUM($D$169:T169))/$M$289)</f>
        <v>0.39620853080568719</v>
      </c>
      <c r="U272" s="1569">
        <f>IF(U169=0," ",(SUM($D$169:U169))/$M$289)</f>
        <v>0.43080568720379148</v>
      </c>
      <c r="V272" s="1569" t="str">
        <f>IF(V169=0," ",(SUM($D$169:V169))/$M$289)</f>
        <v xml:space="preserve"> </v>
      </c>
      <c r="W272" s="1569" t="str">
        <f>IF(W169=0," ",(SUM($D$169:W169))/$M$289)</f>
        <v xml:space="preserve"> </v>
      </c>
      <c r="X272" s="1569"/>
      <c r="Y272" s="1569">
        <f>IF(Y169=0," ",(SUM($D$169:Y169))/$M$289)</f>
        <v>0.46066350710900472</v>
      </c>
      <c r="Z272" s="1569">
        <f>IF(Z169=0," ",(SUM($D$169:Z169))/$M$289)</f>
        <v>0.49052132701421802</v>
      </c>
      <c r="AA272" s="711">
        <f>IF(AA169=0," ",(SUM($D$169:AA169))/$M$289)</f>
        <v>0.52037914691943132</v>
      </c>
      <c r="AB272" s="711">
        <f>IF(AB169=0," ",(SUM($D$169:AB169))/$M$289)</f>
        <v>0.55023696682464451</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0.58483412322274886</v>
      </c>
      <c r="AH272" s="711">
        <f>IF(AH169=0," ",(SUM($D$169:AH169))/$M$289)</f>
        <v>0.61943127962085309</v>
      </c>
      <c r="AI272" s="711">
        <f>IF(AI169=0," ",(SUM($D$169:AI169))/$M$289)</f>
        <v>0.65402843601895733</v>
      </c>
      <c r="AJ272" s="711">
        <f>IF(AJ169=0," ",(SUM($D$169:AJ169))/$M$289)</f>
        <v>0.68862559241706156</v>
      </c>
      <c r="AK272" s="711">
        <f>IF(AK169=0," ",(SUM($D$169:AK169))/$M$289)</f>
        <v>0.72322274881516591</v>
      </c>
      <c r="AL272" s="711">
        <f>IF(AL169=0," ",(SUM($D$169:AL169))/$M$289)</f>
        <v>0.75781990521327014</v>
      </c>
      <c r="AM272" s="711">
        <f>IF(AM169=0," ",(SUM($D$169:AM169))/$M$289)</f>
        <v>0.79241706161137437</v>
      </c>
      <c r="AN272" s="711">
        <f>IF(AN169=0," ",(SUM($D$169:AN169))/$M$289)</f>
        <v>0.82701421800947872</v>
      </c>
      <c r="AO272" s="711">
        <f>IF(AO169=0," ",(SUM($D$169:AO169))/$M$289)</f>
        <v>0.86161137440758295</v>
      </c>
      <c r="AP272" s="711">
        <f>IF(AP169=0," ",(SUM($D$169:AP169))/$M$289)</f>
        <v>0.89620853080568719</v>
      </c>
      <c r="AQ272" s="711">
        <f>IF(AQ169=0," ",(SUM($D$169:AQ169))/$M$289)</f>
        <v>0.93080568720379142</v>
      </c>
      <c r="AR272" s="711">
        <f>IF(AR169=0," ",(SUM($D$169:AR169))/$M$289)</f>
        <v>0.96540284360189577</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25">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25">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25">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25">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25">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25">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25">
      <c r="D279" s="1211" t="s">
        <v>2270</v>
      </c>
    </row>
    <row r="280" spans="1:66" hidden="1" x14ac:dyDescent="0.25"/>
    <row r="282" spans="1:66" s="403" customFormat="1" ht="17.399999999999999" x14ac:dyDescent="0.25">
      <c r="A282" s="395"/>
      <c r="B282" s="395"/>
      <c r="C282" s="801" t="s">
        <v>2322</v>
      </c>
    </row>
    <row r="283" spans="1:66" x14ac:dyDescent="0.25">
      <c r="C283" s="1730" t="s">
        <v>3247</v>
      </c>
      <c r="D283" s="1730"/>
      <c r="E283" s="1730"/>
      <c r="F283" s="1730"/>
      <c r="G283" s="1730"/>
      <c r="H283" s="1731"/>
      <c r="I283" s="1730"/>
      <c r="J283" s="1730"/>
      <c r="K283" s="1730"/>
      <c r="L283" s="1730"/>
      <c r="M283" s="1730"/>
      <c r="N283" s="1730"/>
      <c r="O283" s="1469"/>
      <c r="P283" s="1469"/>
    </row>
    <row r="284" spans="1:66" x14ac:dyDescent="0.25">
      <c r="C284" s="1691" t="s">
        <v>2323</v>
      </c>
      <c r="D284" s="1691"/>
      <c r="E284" s="1691"/>
      <c r="F284" s="1691"/>
      <c r="G284" s="1691"/>
      <c r="H284" s="1691"/>
      <c r="I284" s="1691"/>
      <c r="J284" s="1691"/>
      <c r="K284" s="1691"/>
      <c r="L284" s="1691"/>
      <c r="M284" s="1691"/>
      <c r="N284" s="1691"/>
      <c r="O284" s="649"/>
      <c r="P284" s="649"/>
    </row>
    <row r="285" spans="1:66" x14ac:dyDescent="0.25">
      <c r="C285" s="1467" t="s">
        <v>3174</v>
      </c>
      <c r="D285" s="1466"/>
      <c r="E285" s="1466"/>
      <c r="F285" s="1466"/>
      <c r="G285" s="1466"/>
      <c r="H285" s="1466"/>
      <c r="I285" s="1466"/>
      <c r="J285" s="1466"/>
      <c r="K285" s="1466"/>
      <c r="L285" s="1466"/>
      <c r="M285" s="1466"/>
      <c r="N285" s="1466"/>
      <c r="O285" s="649"/>
      <c r="P285" s="649"/>
    </row>
    <row r="286" spans="1:66" x14ac:dyDescent="0.25">
      <c r="C286" s="1690" t="s">
        <v>3248</v>
      </c>
      <c r="D286" s="1690"/>
      <c r="E286" s="1690"/>
      <c r="F286" s="1690"/>
      <c r="G286" s="1690"/>
      <c r="H286" s="1690"/>
      <c r="I286" s="1690"/>
      <c r="J286" s="1690"/>
      <c r="K286" s="1690"/>
      <c r="L286" s="1690"/>
      <c r="M286" s="1690"/>
      <c r="N286" s="1690"/>
      <c r="O286" s="1690"/>
      <c r="P286" s="1690"/>
    </row>
    <row r="287" spans="1:66" ht="18" customHeight="1" x14ac:dyDescent="0.25">
      <c r="C287" s="1665" t="s">
        <v>3249</v>
      </c>
      <c r="D287" s="1665"/>
      <c r="E287" s="1665"/>
      <c r="F287" s="1665"/>
      <c r="G287" s="1665"/>
      <c r="H287" s="1665"/>
      <c r="I287" s="1665"/>
      <c r="J287" s="1665"/>
      <c r="K287" s="1665"/>
      <c r="L287" s="1665"/>
      <c r="M287" s="1665"/>
      <c r="N287" s="1665"/>
      <c r="O287" s="1665"/>
      <c r="P287" s="1665"/>
    </row>
    <row r="288" spans="1:66" ht="25.05" customHeight="1" x14ac:dyDescent="0.25">
      <c r="B288" s="555"/>
      <c r="C288" s="907" t="s">
        <v>189</v>
      </c>
      <c r="D288" s="1582">
        <f>IFERROR('3. Financial Inputs'!B52,"")</f>
        <v>0.56022271714922045</v>
      </c>
      <c r="E288" s="520"/>
      <c r="F288" s="521"/>
      <c r="G288" s="1211"/>
      <c r="H288" s="1211"/>
      <c r="J288" s="1211"/>
    </row>
    <row r="289" spans="2:16" ht="25.95" customHeight="1" x14ac:dyDescent="0.25">
      <c r="B289" s="555"/>
      <c r="C289" s="907" t="s">
        <v>2197</v>
      </c>
      <c r="D289" s="908">
        <f>SUM(D291:D390)</f>
        <v>898000</v>
      </c>
      <c r="E289" s="908"/>
      <c r="F289" s="908">
        <f>SUM(F291:F390)</f>
        <v>394920</v>
      </c>
      <c r="G289" s="398"/>
      <c r="H289" s="398"/>
      <c r="K289" s="714"/>
      <c r="M289" s="1349">
        <f>SUM(M291:M346)</f>
        <v>8440</v>
      </c>
    </row>
    <row r="290" spans="2:16" ht="45" customHeight="1" x14ac:dyDescent="0.25">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3.95" customHeight="1" x14ac:dyDescent="0.25">
      <c r="C291" s="1353" t="str">
        <f t="shared" ref="C291:C322" si="86">IF(K48="","",K48)</f>
        <v>Data Analyst</v>
      </c>
      <c r="D291" s="917">
        <f>IFERROR(IF($L291="Enter Override $",(IF($E$26="Select Type","Select Margin Class",IF($E$26="Standard Rates",I291*M291,IF($E$26="Client Custom Rates",K291*M291)))),L291*M291),"")</f>
        <v>192000</v>
      </c>
      <c r="E291" s="909"/>
      <c r="F291" s="909" cm="1">
        <f t="array" ref="F291">IFERROR(IF($E$20="Credera US",_xlfn.XLOOKUP($O48,'Rates &amp; Drop Downs INT'!F:F,'Rates &amp; Drop Downs INT'!G:G)*M291,IF($C48="TADNorthAmerica",SUMPRODUCT(('Rates &amp; Drop Downs INT'!$CG$6:$CG$708=$D48)*('Rates &amp; Drop Downs INT'!$CI$6:$CI$708=$F48)*('Rates &amp; Drop Downs INT'!$CK$6:$CK$708=$K48)*('Rates &amp; Drop Downs INT'!$CQ$6:$CQ$708))*M291,SUMPRODUCT(('Rates &amp; Drop Downs INT'!$CG$6:$CG$708=$D48)*('Rates &amp; Drop Downs INT'!$CI$6:$CI$708=$F48)*('Rates &amp; Drop Downs INT'!$CK$6:$CK$708=$K48)*('Rates &amp; Drop Downs INT'!$CT$6:$CT$708))*M291)),0)</f>
        <v>102000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160</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1200</v>
      </c>
      <c r="N291" s="912">
        <f t="shared" ref="N291:N322" si="88">IF(COUNTIF($D170:$BC170,"&gt;0")=0,"",COUNTIF($D170:$BC170,"&gt;0"))</f>
        <v>30</v>
      </c>
      <c r="O291" s="803"/>
      <c r="P291" s="803"/>
    </row>
    <row r="292" spans="2:16" ht="13.95" customHeight="1" x14ac:dyDescent="0.25">
      <c r="C292" s="1352" t="str">
        <f t="shared" si="86"/>
        <v>Data Analyst</v>
      </c>
      <c r="D292" s="918">
        <f>IFERROR(IF($L292="",(IF($E$26="Select Type","Select Margin Class",IF($E$26="Standard Rates",I292*M292,IF($E$26="Client Custom Rates",K292*M292)))),L292*M292),"")</f>
        <v>48400</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15840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55</v>
      </c>
      <c r="K292" s="885" cm="1">
        <f t="array" ref="K292">IF($E$20&lt;&gt;"Credera US",0,IF(L292&lt;&gt;"","",IFERROR(IF($D$26&lt;&gt;"Client Custom Rates",0,INDEX('Client Rate Cards'!E:E,MATCH(1,('Client Rate Cards'!B:B='2. Roles &amp; Pricing'!$D$27)*('Client Rate Cards'!D:D='2. Roles &amp; Pricing'!T49),0))),0)))</f>
        <v>0</v>
      </c>
      <c r="L292" s="1350"/>
      <c r="M292" s="887">
        <f t="shared" si="87"/>
        <v>880</v>
      </c>
      <c r="N292" s="913">
        <f t="shared" si="88"/>
        <v>22</v>
      </c>
    </row>
    <row r="293" spans="2:16" ht="13.95" customHeight="1" x14ac:dyDescent="0.25">
      <c r="C293" s="1352" t="str">
        <f t="shared" si="86"/>
        <v>UX Designer</v>
      </c>
      <c r="D293" s="918">
        <f t="shared" ref="D293:D356" si="89">IFERROR(IF($L293="",(IF($E$26="Select Type","Select Margin Class",IF($E$26="Standard Rates",I293*M293,IF($E$26="Client Custom Rates",K293*M293)))),L293*M293),"")</f>
        <v>204000</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84000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170</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3.95" customHeight="1" x14ac:dyDescent="0.25">
      <c r="C294" s="1352" t="str">
        <f t="shared" si="86"/>
        <v>UX Designer</v>
      </c>
      <c r="D294" s="918">
        <f t="shared" si="89"/>
        <v>66000</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21600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55</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3.95" customHeight="1" x14ac:dyDescent="0.25">
      <c r="C295" s="1352" t="str">
        <f t="shared" si="86"/>
        <v>Technical Lead</v>
      </c>
      <c r="D295" s="918">
        <f t="shared" si="89"/>
        <v>222000</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108000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185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3.95" customHeight="1" x14ac:dyDescent="0.25">
      <c r="C296" s="1352" t="str">
        <f t="shared" si="86"/>
        <v>Associate DevOps Engineer</v>
      </c>
      <c r="D296" s="918">
        <f t="shared" si="89"/>
        <v>33600</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12480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35</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3.95" customHeight="1" x14ac:dyDescent="0.25">
      <c r="C297" s="1352" t="str">
        <f t="shared" si="86"/>
        <v>Sr. Developer</v>
      </c>
      <c r="D297" s="918">
        <f t="shared" si="89"/>
        <v>78000</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27000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65</v>
      </c>
      <c r="K297" s="885" cm="1">
        <f t="array" ref="K297">IF($E$20&lt;&gt;"Credera US",0,IF(L297&lt;&gt;"","",IFERROR(IF($D$26&lt;&gt;"Client Custom Rates",0,INDEX('Client Rate Cards'!E:E,MATCH(1,('Client Rate Cards'!B:B='2. Roles &amp; Pricing'!$D$27)*('Client Rate Cards'!D:D='2. Roles &amp; Pricing'!T54),0))),0)))</f>
        <v>0</v>
      </c>
      <c r="L297" s="1350"/>
      <c r="M297" s="887">
        <f t="shared" si="87"/>
        <v>1200</v>
      </c>
      <c r="N297" s="913">
        <f t="shared" si="88"/>
        <v>30</v>
      </c>
    </row>
    <row r="298" spans="2:16" ht="13.95" customHeight="1" x14ac:dyDescent="0.25">
      <c r="C298" s="1352" t="str">
        <f t="shared" si="86"/>
        <v>Delivery Manager</v>
      </c>
      <c r="D298" s="918">
        <f t="shared" si="89"/>
        <v>54000</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24000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90</v>
      </c>
      <c r="K298" s="885" cm="1">
        <f t="array" ref="K298">IF($E$20&lt;&gt;"Credera US",0,IF(L298&lt;&gt;"","",IFERROR(IF($D$26&lt;&gt;"Client Custom Rates",0,INDEX('Client Rate Cards'!E:E,MATCH(1,('Client Rate Cards'!B:B='2. Roles &amp; Pricing'!$D$27)*('Client Rate Cards'!D:D='2. Roles &amp; Pricing'!T55),0))),0)))</f>
        <v>0</v>
      </c>
      <c r="L298" s="1350"/>
      <c r="M298" s="887">
        <f t="shared" si="87"/>
        <v>600</v>
      </c>
      <c r="N298" s="913">
        <f t="shared" si="88"/>
        <v>30</v>
      </c>
    </row>
    <row r="299" spans="2:16" ht="13.95" customHeight="1" x14ac:dyDescent="0.25">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3.95" customHeight="1" x14ac:dyDescent="0.25">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3.95" customHeight="1" x14ac:dyDescent="0.25">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3.95" customHeight="1" x14ac:dyDescent="0.25">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3.95" customHeight="1" x14ac:dyDescent="0.25">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3.95" customHeight="1" x14ac:dyDescent="0.25">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3.95" customHeight="1" x14ac:dyDescent="0.25">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3.95" customHeight="1" x14ac:dyDescent="0.25">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3.95" customHeight="1" x14ac:dyDescent="0.25">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3.95" customHeight="1" x14ac:dyDescent="0.25">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3.95" customHeight="1" x14ac:dyDescent="0.25">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3.95" customHeight="1" x14ac:dyDescent="0.25">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3.95" customHeight="1" x14ac:dyDescent="0.25">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3.95" customHeight="1" x14ac:dyDescent="0.25">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3.95" customHeight="1" x14ac:dyDescent="0.25">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3.95" customHeight="1" x14ac:dyDescent="0.25">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3.95" customHeight="1" x14ac:dyDescent="0.25">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3.95" hidden="1" customHeight="1" outlineLevel="2" x14ac:dyDescent="0.25">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3.95" hidden="1" customHeight="1" outlineLevel="2" x14ac:dyDescent="0.25">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3.95" hidden="1" customHeight="1" outlineLevel="2" x14ac:dyDescent="0.25">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3.95" hidden="1" customHeight="1" outlineLevel="2" x14ac:dyDescent="0.25">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3.95" hidden="1" customHeight="1" outlineLevel="2" x14ac:dyDescent="0.25">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3.95" hidden="1" customHeight="1" outlineLevel="2" x14ac:dyDescent="0.25">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3.95" hidden="1" customHeight="1" outlineLevel="2" x14ac:dyDescent="0.25">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3.95" hidden="1" customHeight="1" outlineLevel="2" x14ac:dyDescent="0.25">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3.95" hidden="1" customHeight="1" outlineLevel="2" x14ac:dyDescent="0.25">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3.95" hidden="1" customHeight="1" outlineLevel="2" x14ac:dyDescent="0.25">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3.95" hidden="1" customHeight="1" outlineLevel="2" x14ac:dyDescent="0.25">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3.95" hidden="1" customHeight="1" outlineLevel="2" x14ac:dyDescent="0.25">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3.95" hidden="1" customHeight="1" outlineLevel="2" x14ac:dyDescent="0.25">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3.95" hidden="1" customHeight="1" outlineLevel="2" x14ac:dyDescent="0.25">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3.95" hidden="1" customHeight="1" outlineLevel="2" x14ac:dyDescent="0.25">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3.95" hidden="1" customHeight="1" outlineLevel="2" x14ac:dyDescent="0.25">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3.95" hidden="1" customHeight="1" outlineLevel="2" x14ac:dyDescent="0.25">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3.95" hidden="1" customHeight="1" outlineLevel="2" x14ac:dyDescent="0.25">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3.95" hidden="1" customHeight="1" outlineLevel="2" x14ac:dyDescent="0.25">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3.95" hidden="1" customHeight="1" outlineLevel="2" x14ac:dyDescent="0.25">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3.95" hidden="1" customHeight="1" outlineLevel="2" x14ac:dyDescent="0.25">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3.95" hidden="1" customHeight="1" outlineLevel="2" x14ac:dyDescent="0.25">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3.95" hidden="1" customHeight="1" outlineLevel="2" x14ac:dyDescent="0.25">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3.95" hidden="1" customHeight="1" outlineLevel="2" x14ac:dyDescent="0.25">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3.95" hidden="1" customHeight="1" outlineLevel="2" x14ac:dyDescent="0.25">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3.95" hidden="1" customHeight="1" outlineLevel="2" x14ac:dyDescent="0.25">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3.95" hidden="1" customHeight="1" outlineLevel="2" x14ac:dyDescent="0.25">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3.95" hidden="1" customHeight="1" outlineLevel="2" x14ac:dyDescent="0.25">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3.95" hidden="1" customHeight="1" outlineLevel="2" x14ac:dyDescent="0.25">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3.95" hidden="1" customHeight="1" outlineLevel="2" x14ac:dyDescent="0.25">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3.95" customHeight="1" collapsed="1" x14ac:dyDescent="0.25">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3.95" hidden="1" customHeight="1" outlineLevel="1" x14ac:dyDescent="0.25">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3.95" hidden="1" customHeight="1" outlineLevel="1" x14ac:dyDescent="0.25">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3.95" hidden="1" customHeight="1" outlineLevel="1" x14ac:dyDescent="0.25">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3.95" hidden="1" customHeight="1" outlineLevel="1" x14ac:dyDescent="0.25">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3.95" hidden="1" customHeight="1" outlineLevel="1" x14ac:dyDescent="0.25">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3.95" hidden="1" customHeight="1" outlineLevel="1" x14ac:dyDescent="0.25">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3.95" hidden="1" customHeight="1" outlineLevel="1" x14ac:dyDescent="0.25">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3.95" hidden="1" customHeight="1" outlineLevel="1" x14ac:dyDescent="0.25">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3.95" hidden="1" customHeight="1" outlineLevel="1" x14ac:dyDescent="0.25">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3.95" hidden="1" customHeight="1" outlineLevel="1" x14ac:dyDescent="0.25">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3.95" hidden="1" customHeight="1" outlineLevel="1" x14ac:dyDescent="0.25">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3.95" hidden="1" customHeight="1" outlineLevel="1" x14ac:dyDescent="0.25">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3.95" hidden="1" customHeight="1" outlineLevel="1" x14ac:dyDescent="0.25">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3.95" hidden="1" customHeight="1" outlineLevel="1" x14ac:dyDescent="0.25">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3.95" hidden="1" customHeight="1" outlineLevel="1" x14ac:dyDescent="0.25">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3.95" hidden="1" customHeight="1" outlineLevel="1" x14ac:dyDescent="0.25">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3.95" hidden="1" customHeight="1" outlineLevel="1" x14ac:dyDescent="0.25">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3.95" hidden="1" customHeight="1" outlineLevel="1" x14ac:dyDescent="0.25">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3.95" hidden="1" customHeight="1" outlineLevel="1" x14ac:dyDescent="0.25">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3.95" hidden="1" customHeight="1" outlineLevel="1" x14ac:dyDescent="0.25">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3.95" hidden="1" customHeight="1" outlineLevel="1" x14ac:dyDescent="0.25">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3.95" hidden="1" customHeight="1" outlineLevel="1" x14ac:dyDescent="0.25">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3.95" hidden="1" customHeight="1" outlineLevel="1" x14ac:dyDescent="0.25">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3.95" hidden="1" customHeight="1" outlineLevel="1" x14ac:dyDescent="0.25">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3.95" hidden="1" customHeight="1" outlineLevel="1" x14ac:dyDescent="0.25">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3.95" hidden="1" customHeight="1" outlineLevel="1" x14ac:dyDescent="0.25">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3.95" hidden="1" customHeight="1" outlineLevel="1" x14ac:dyDescent="0.25">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3.95" hidden="1" customHeight="1" outlineLevel="1" x14ac:dyDescent="0.25">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3.95" hidden="1" customHeight="1" outlineLevel="1" x14ac:dyDescent="0.25">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3.95" hidden="1" customHeight="1" outlineLevel="1" x14ac:dyDescent="0.25">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3.95" hidden="1" customHeight="1" outlineLevel="1" x14ac:dyDescent="0.25">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3.95" hidden="1" customHeight="1" outlineLevel="1" x14ac:dyDescent="0.25">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3.95" hidden="1" customHeight="1" outlineLevel="1" x14ac:dyDescent="0.25">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3.95" hidden="1" customHeight="1" outlineLevel="1" x14ac:dyDescent="0.25">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3.95" hidden="1" customHeight="1" outlineLevel="1" x14ac:dyDescent="0.25">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3.95" hidden="1" customHeight="1" outlineLevel="1" x14ac:dyDescent="0.25">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3.95" hidden="1" customHeight="1" outlineLevel="1" x14ac:dyDescent="0.25">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3.95" hidden="1" customHeight="1" outlineLevel="1" x14ac:dyDescent="0.25">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3.95" hidden="1" customHeight="1" outlineLevel="1" x14ac:dyDescent="0.25">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3.95" hidden="1" customHeight="1" outlineLevel="1" x14ac:dyDescent="0.25">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3.95" hidden="1" customHeight="1" outlineLevel="1" x14ac:dyDescent="0.25">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3.95" hidden="1" customHeight="1" outlineLevel="1" x14ac:dyDescent="0.25">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3.95" hidden="1" customHeight="1" outlineLevel="1" x14ac:dyDescent="0.25">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3.95" hidden="1" customHeight="1" outlineLevel="1" x14ac:dyDescent="0.25">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25">
      <c r="B391" s="395" t="s">
        <v>2235</v>
      </c>
      <c r="C391" s="522" t="s">
        <v>2238</v>
      </c>
      <c r="D391" s="398"/>
      <c r="F391" s="487"/>
      <c r="I391" s="487"/>
      <c r="K391" s="487"/>
      <c r="L391" s="487"/>
      <c r="M391" s="523"/>
    </row>
    <row r="392" spans="2:37" x14ac:dyDescent="0.25">
      <c r="D392" s="398"/>
      <c r="F392" s="487"/>
      <c r="I392" s="429"/>
      <c r="K392" s="487"/>
      <c r="L392" s="487"/>
      <c r="M392" s="523"/>
    </row>
    <row r="393" spans="2:37" ht="17.399999999999999" x14ac:dyDescent="0.25">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25">
      <c r="C394" s="1546" t="s">
        <v>3578</v>
      </c>
      <c r="D394" s="1546"/>
      <c r="E394" s="1546"/>
      <c r="F394" s="1546"/>
      <c r="G394" s="1546"/>
      <c r="H394" s="1546"/>
      <c r="I394" s="1546"/>
    </row>
    <row r="395" spans="2:37" ht="13.95" customHeight="1" x14ac:dyDescent="0.25">
      <c r="C395" s="1664" t="s">
        <v>3577</v>
      </c>
      <c r="D395" s="1664"/>
      <c r="E395" s="1664"/>
      <c r="F395" s="1664"/>
      <c r="G395" s="1664"/>
      <c r="H395" s="1664"/>
      <c r="I395" s="1664"/>
      <c r="J395" s="1664"/>
      <c r="K395" s="1664"/>
      <c r="L395" s="1664"/>
      <c r="M395" s="1664"/>
      <c r="N395" s="1664"/>
      <c r="O395" s="627"/>
    </row>
    <row r="396" spans="2:37" x14ac:dyDescent="0.25">
      <c r="C396" s="1664" t="s">
        <v>3224</v>
      </c>
      <c r="D396" s="1664"/>
      <c r="E396" s="1664"/>
      <c r="F396" s="1664"/>
      <c r="G396" s="1664"/>
      <c r="H396" s="1664"/>
      <c r="I396" s="1664"/>
      <c r="J396" s="1664"/>
      <c r="K396" s="1664"/>
      <c r="L396" s="1664"/>
      <c r="M396" s="1664"/>
      <c r="N396" s="1664"/>
      <c r="O396" s="1264"/>
    </row>
    <row r="397" spans="2:37" x14ac:dyDescent="0.25">
      <c r="C397" s="1664" t="s">
        <v>3398</v>
      </c>
      <c r="D397" s="1664"/>
      <c r="E397" s="1664"/>
      <c r="F397" s="1664"/>
      <c r="G397" s="1664"/>
      <c r="H397" s="1664"/>
      <c r="I397" s="1664"/>
      <c r="J397" s="1664"/>
      <c r="K397" s="1664"/>
      <c r="L397" s="1664"/>
      <c r="M397" s="1664"/>
      <c r="N397" s="1664"/>
      <c r="O397" s="1264"/>
    </row>
    <row r="398" spans="2:37" x14ac:dyDescent="0.25">
      <c r="C398" s="1228"/>
      <c r="D398" s="1228"/>
      <c r="E398" s="1228"/>
      <c r="F398" s="1228"/>
      <c r="G398" s="1228"/>
      <c r="H398" s="1228"/>
      <c r="I398" s="1228"/>
      <c r="J398" s="1228"/>
      <c r="K398" s="1228"/>
      <c r="L398" s="1228"/>
      <c r="M398" s="1228"/>
      <c r="N398" s="1228"/>
      <c r="O398" s="1228"/>
    </row>
    <row r="399" spans="2:37" ht="31.2" x14ac:dyDescent="0.25">
      <c r="C399" s="1581" t="s">
        <v>3579</v>
      </c>
      <c r="D399" s="1682" t="s">
        <v>101</v>
      </c>
      <c r="E399" s="1683"/>
      <c r="F399" s="1684"/>
      <c r="G399" s="1373"/>
      <c r="H399" s="1573"/>
      <c r="I399" s="1372"/>
    </row>
    <row r="400" spans="2:37" ht="33" customHeight="1" x14ac:dyDescent="0.25">
      <c r="C400" s="821" t="s">
        <v>102</v>
      </c>
      <c r="D400" s="1374" t="s">
        <v>213</v>
      </c>
      <c r="E400" s="1375" t="s">
        <v>2272</v>
      </c>
      <c r="F400" s="1375" t="s">
        <v>2273</v>
      </c>
      <c r="G400" s="1365"/>
      <c r="H400" s="1574"/>
      <c r="I400" s="1369"/>
    </row>
    <row r="401" spans="3:9" x14ac:dyDescent="0.25">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25">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25">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25">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25">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25">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25">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25">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25">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25">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25">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25">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25">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25">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25">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25">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25">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25">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25">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25">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25">
      <c r="C421" s="920" t="s">
        <v>87</v>
      </c>
      <c r="D421" s="921">
        <f>SUM(D401:D420)</f>
        <v>0</v>
      </c>
      <c r="E421" s="922">
        <f>SUM(E401:E420)</f>
        <v>0</v>
      </c>
      <c r="F421" s="923">
        <f>SUM(F401:F420)</f>
        <v>0</v>
      </c>
      <c r="G421" s="1368"/>
      <c r="I421" s="1371"/>
    </row>
  </sheetData>
  <sheetProtection sort="0" autoFilter="0" pivotTables="0"/>
  <dataConsolidate/>
  <mergeCells count="595">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 ref="O146:S146"/>
    <mergeCell ref="O147:S147"/>
    <mergeCell ref="O131:S131"/>
    <mergeCell ref="O132:S132"/>
    <mergeCell ref="O133:S133"/>
    <mergeCell ref="O134:S134"/>
    <mergeCell ref="O135:S135"/>
    <mergeCell ref="O136:S136"/>
    <mergeCell ref="O137:S137"/>
    <mergeCell ref="O138:S138"/>
    <mergeCell ref="O139:S139"/>
    <mergeCell ref="O128:S128"/>
    <mergeCell ref="O129:S129"/>
    <mergeCell ref="O130:S130"/>
    <mergeCell ref="O140:S140"/>
    <mergeCell ref="O141:S141"/>
    <mergeCell ref="O142:S142"/>
    <mergeCell ref="O143:S143"/>
    <mergeCell ref="O144:S144"/>
    <mergeCell ref="O145:S145"/>
    <mergeCell ref="O119:S119"/>
    <mergeCell ref="O120:S120"/>
    <mergeCell ref="O121:S121"/>
    <mergeCell ref="O122:S122"/>
    <mergeCell ref="O123:S123"/>
    <mergeCell ref="O124:S124"/>
    <mergeCell ref="O125:S125"/>
    <mergeCell ref="O126:S126"/>
    <mergeCell ref="O127:S127"/>
    <mergeCell ref="O110:S110"/>
    <mergeCell ref="O111:S111"/>
    <mergeCell ref="O112:S112"/>
    <mergeCell ref="O113:S113"/>
    <mergeCell ref="O114:S114"/>
    <mergeCell ref="O115:S115"/>
    <mergeCell ref="O116:S116"/>
    <mergeCell ref="O117:S117"/>
    <mergeCell ref="O118:S118"/>
    <mergeCell ref="O101:S101"/>
    <mergeCell ref="O102:S102"/>
    <mergeCell ref="O103:S103"/>
    <mergeCell ref="O104:S104"/>
    <mergeCell ref="O105:S105"/>
    <mergeCell ref="O106:S106"/>
    <mergeCell ref="O107:S107"/>
    <mergeCell ref="O108:S108"/>
    <mergeCell ref="O109:S109"/>
    <mergeCell ref="O92:S92"/>
    <mergeCell ref="O93:S93"/>
    <mergeCell ref="O94:S94"/>
    <mergeCell ref="O95:S95"/>
    <mergeCell ref="O96:S96"/>
    <mergeCell ref="O97:S97"/>
    <mergeCell ref="O98:S98"/>
    <mergeCell ref="O99:S99"/>
    <mergeCell ref="O100:S100"/>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K133:M133"/>
    <mergeCell ref="K134:M134"/>
    <mergeCell ref="K135:M135"/>
    <mergeCell ref="K136:M136"/>
    <mergeCell ref="K137:M137"/>
    <mergeCell ref="K138:M138"/>
    <mergeCell ref="K139:M139"/>
    <mergeCell ref="K140:M140"/>
    <mergeCell ref="K141:M141"/>
    <mergeCell ref="K124:M124"/>
    <mergeCell ref="K125:M125"/>
    <mergeCell ref="K126:M126"/>
    <mergeCell ref="K127:M127"/>
    <mergeCell ref="K128:M128"/>
    <mergeCell ref="K129:M129"/>
    <mergeCell ref="K130:M130"/>
    <mergeCell ref="K131:M131"/>
    <mergeCell ref="K132:M132"/>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H106:AI106"/>
    <mergeCell ref="AH107:AI107"/>
    <mergeCell ref="AH125:AI125"/>
    <mergeCell ref="AH126:AI126"/>
    <mergeCell ref="AH127:AI127"/>
    <mergeCell ref="AH128:AI128"/>
    <mergeCell ref="AH129:AI129"/>
    <mergeCell ref="AH130:AI130"/>
    <mergeCell ref="AH131:AI13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F2:K2"/>
    <mergeCell ref="C7:I7"/>
    <mergeCell ref="C15:I15"/>
    <mergeCell ref="L2:M2"/>
    <mergeCell ref="L3:M3"/>
    <mergeCell ref="Q2:Y2"/>
    <mergeCell ref="C12:R12"/>
    <mergeCell ref="K7:Q7"/>
    <mergeCell ref="C8:N8"/>
    <mergeCell ref="C9:N9"/>
    <mergeCell ref="C10:N10"/>
    <mergeCell ref="C11:N1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K52:M52"/>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K59:M59"/>
    <mergeCell ref="T53:U53"/>
    <mergeCell ref="T54:U54"/>
    <mergeCell ref="T55:U55"/>
    <mergeCell ref="T56:U56"/>
    <mergeCell ref="T57:U57"/>
    <mergeCell ref="K53:M53"/>
    <mergeCell ref="K54:M54"/>
    <mergeCell ref="K55:M55"/>
    <mergeCell ref="K56:M56"/>
    <mergeCell ref="K57:M57"/>
    <mergeCell ref="K58:M58"/>
    <mergeCell ref="O52:S52"/>
    <mergeCell ref="O51:S51"/>
    <mergeCell ref="T79:U79"/>
    <mergeCell ref="T80:U80"/>
    <mergeCell ref="T81:U81"/>
    <mergeCell ref="T82:U82"/>
    <mergeCell ref="T83:U83"/>
    <mergeCell ref="T84:U84"/>
    <mergeCell ref="T85:U85"/>
    <mergeCell ref="T58:U58"/>
    <mergeCell ref="T59:U59"/>
    <mergeCell ref="T86:U86"/>
    <mergeCell ref="T75:U75"/>
    <mergeCell ref="T76:U76"/>
    <mergeCell ref="T77:U77"/>
    <mergeCell ref="T78:U78"/>
    <mergeCell ref="T87:U87"/>
    <mergeCell ref="T88:U88"/>
    <mergeCell ref="T89:U89"/>
    <mergeCell ref="T90:U90"/>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AC47:AD47"/>
    <mergeCell ref="AC48:AD48"/>
    <mergeCell ref="AC49:AD49"/>
    <mergeCell ref="AC50:AD50"/>
    <mergeCell ref="AC51:AD51"/>
    <mergeCell ref="AC52:AD52"/>
    <mergeCell ref="AC53:AD53"/>
    <mergeCell ref="AC54:AD54"/>
    <mergeCell ref="AC55:AD55"/>
    <mergeCell ref="AC56:AD56"/>
    <mergeCell ref="AC57:AD57"/>
    <mergeCell ref="AC58:AD58"/>
    <mergeCell ref="AC59:AD59"/>
    <mergeCell ref="AC60:AD60"/>
    <mergeCell ref="AC61:AD61"/>
    <mergeCell ref="AC62:AD62"/>
    <mergeCell ref="AC63:AD63"/>
    <mergeCell ref="AC64:AD64"/>
    <mergeCell ref="AC65:AD65"/>
    <mergeCell ref="AC66:AD66"/>
    <mergeCell ref="AC67:AD67"/>
    <mergeCell ref="AC68:AD68"/>
    <mergeCell ref="AC69:AD69"/>
    <mergeCell ref="AC70:AD70"/>
    <mergeCell ref="AC71:AD71"/>
    <mergeCell ref="AC72:AD72"/>
    <mergeCell ref="AC73:AD73"/>
    <mergeCell ref="AC74:AD74"/>
    <mergeCell ref="AC75:AD75"/>
    <mergeCell ref="AC76:AD76"/>
    <mergeCell ref="AC77:AD77"/>
    <mergeCell ref="AC78:AD78"/>
    <mergeCell ref="AC79:AD79"/>
    <mergeCell ref="AC80:AD80"/>
    <mergeCell ref="AC81:AD81"/>
    <mergeCell ref="AC82:AD82"/>
    <mergeCell ref="AC83:AD83"/>
    <mergeCell ref="AC84:AD84"/>
    <mergeCell ref="AC85:AD85"/>
    <mergeCell ref="AC86:AD86"/>
    <mergeCell ref="AC87:AD87"/>
    <mergeCell ref="AC88:AD88"/>
    <mergeCell ref="AC89:AD89"/>
    <mergeCell ref="AC90:AD90"/>
    <mergeCell ref="AC91:AD91"/>
    <mergeCell ref="AC92:AD92"/>
    <mergeCell ref="AC93:AD93"/>
    <mergeCell ref="AC94:AD94"/>
    <mergeCell ref="AC95:AD95"/>
    <mergeCell ref="AC96:AD96"/>
    <mergeCell ref="AC97:AD97"/>
    <mergeCell ref="AC98:AD98"/>
    <mergeCell ref="AC99:AD99"/>
    <mergeCell ref="AC100:AD100"/>
    <mergeCell ref="AC101:AD101"/>
    <mergeCell ref="AC102:AD102"/>
    <mergeCell ref="AC103:AD103"/>
    <mergeCell ref="AC104:AD104"/>
    <mergeCell ref="AC105:AD105"/>
    <mergeCell ref="AC106:AD106"/>
    <mergeCell ref="AC107:AD107"/>
    <mergeCell ref="AC108:AD108"/>
    <mergeCell ref="AC109:AD109"/>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6:C99 J55:J147 Y172:BO269 C171:C269 Z52:AB52 M291:N294 J49 M296:N346 N295 I170 Y170:BO170 J50:J53 P48:S48 Z53:AB53 Y56:AB147 B48:B54 F170:G170 J48 AA48 Z49:AA49 Z50:AB50 Z51:AB51 B101:C147 B100 F172:G269 AC171:BO171 O171:W171 T99:U147 K170:W170 I172:W269 Z54:AB54 B55 Z55:AB55"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77734375" defaultRowHeight="14.4" x14ac:dyDescent="0.3"/>
  <sheetData>
    <row r="1" spans="1:52" x14ac:dyDescent="0.3">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5"/>
  <sheetViews>
    <sheetView topLeftCell="BF21" zoomScale="80" zoomScaleNormal="80" workbookViewId="0">
      <selection activeCell="BT34" sqref="BT34"/>
    </sheetView>
  </sheetViews>
  <sheetFormatPr defaultColWidth="9.21875" defaultRowHeight="13.8" x14ac:dyDescent="0.25"/>
  <cols>
    <col min="1" max="1" width="6.44140625" style="141" customWidth="1"/>
    <col min="2" max="2" width="5" style="262" hidden="1" customWidth="1"/>
    <col min="3" max="3" width="19.44140625" style="262" hidden="1" customWidth="1"/>
    <col min="4" max="4" width="21.44140625" style="262" hidden="1" customWidth="1"/>
    <col min="5" max="5" width="10" style="262" hidden="1" customWidth="1"/>
    <col min="6" max="6" width="14.21875" style="262" hidden="1" customWidth="1"/>
    <col min="7" max="7" width="26.21875" style="140" bestFit="1" customWidth="1"/>
    <col min="8" max="8" width="21.21875" style="140" bestFit="1" customWidth="1"/>
    <col min="9" max="9" width="24.21875" style="140" bestFit="1" customWidth="1"/>
    <col min="10" max="10" width="24.44140625" style="140" bestFit="1" customWidth="1"/>
    <col min="11" max="11" width="10.44140625" style="140" customWidth="1"/>
    <col min="12" max="12" width="6.44140625" style="140" bestFit="1" customWidth="1"/>
    <col min="13" max="13" width="24.44140625" style="140" bestFit="1" customWidth="1"/>
    <col min="14" max="65" width="10.44140625" style="140" customWidth="1"/>
    <col min="66" max="66" width="11.44140625" style="140" customWidth="1"/>
    <col min="67" max="67" width="12.44140625" style="140" customWidth="1"/>
    <col min="68" max="68" width="13.21875" style="140" bestFit="1" customWidth="1"/>
    <col min="69" max="69" width="14.44140625" style="140" customWidth="1"/>
    <col min="70" max="70" width="17.33203125" style="141" bestFit="1" customWidth="1"/>
    <col min="71" max="71" width="13.44140625" style="142" customWidth="1"/>
    <col min="72" max="72" width="16.44140625" style="142" customWidth="1"/>
    <col min="73" max="73" width="13" style="142" customWidth="1"/>
    <col min="74" max="74" width="19" style="142" customWidth="1"/>
    <col min="75" max="75" width="42.44140625" style="142" customWidth="1"/>
    <col min="76" max="16384" width="9.21875" style="142"/>
  </cols>
  <sheetData>
    <row r="1" spans="1:94" s="135" customFormat="1" ht="28.2" thickBot="1" x14ac:dyDescent="0.35">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6" x14ac:dyDescent="0.3">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6" x14ac:dyDescent="0.25">
      <c r="A3" s="157"/>
      <c r="B3" s="158"/>
      <c r="C3" s="158"/>
      <c r="D3" s="158"/>
      <c r="E3" s="158"/>
      <c r="F3" s="158"/>
      <c r="G3" s="140" t="s">
        <v>2184</v>
      </c>
      <c r="H3" s="140" t="str">
        <f>'1. Project Inputs'!C23</f>
        <v>Green Dot Marketing 2025</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6" x14ac:dyDescent="0.25">
      <c r="A4" s="157"/>
      <c r="B4" s="158"/>
      <c r="C4" s="158"/>
      <c r="D4" s="158"/>
      <c r="E4" s="158"/>
      <c r="F4" s="158"/>
      <c r="G4" s="140" t="s">
        <v>2185</v>
      </c>
      <c r="H4" s="386">
        <f>'1. Project Inputs'!C27</f>
        <v>45916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6" x14ac:dyDescent="0.25">
      <c r="A5" s="157"/>
      <c r="B5" s="158"/>
      <c r="C5" s="158"/>
      <c r="D5" s="158"/>
      <c r="E5" s="158"/>
      <c r="F5" s="158"/>
      <c r="G5" s="140" t="s">
        <v>2186</v>
      </c>
      <c r="H5" s="140" t="str">
        <f>IF('1. Project Inputs'!C28="Fixed Fee","Fixed Price",IF('1. Project Inputs'!C28="T&amp;M","Time and Material"))</f>
        <v>Time and Material</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6" x14ac:dyDescent="0.25">
      <c r="A6" s="157"/>
      <c r="B6" s="158"/>
      <c r="C6" s="158"/>
      <c r="D6" s="158"/>
      <c r="E6" s="158"/>
      <c r="F6" s="158"/>
      <c r="G6" s="140" t="s">
        <v>2187</v>
      </c>
      <c r="H6" s="386" t="str">
        <f>'1. Project Inputs'!C32</f>
        <v>CR</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6" x14ac:dyDescent="0.25">
      <c r="A7" s="157"/>
      <c r="B7" s="158"/>
      <c r="C7" s="158"/>
      <c r="D7" s="158"/>
      <c r="E7" s="158"/>
      <c r="F7" s="158"/>
      <c r="G7" s="140" t="s">
        <v>2188</v>
      </c>
      <c r="H7" s="386" t="str">
        <f>'1. Project Inputs'!C31</f>
        <v>Paid CR</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6" x14ac:dyDescent="0.25">
      <c r="A8" s="157"/>
      <c r="B8" s="158"/>
      <c r="C8" s="158"/>
      <c r="D8" s="158"/>
      <c r="E8" s="158"/>
      <c r="F8" s="158"/>
      <c r="G8" s="140" t="s">
        <v>2189</v>
      </c>
      <c r="H8" s="386">
        <f>H4</f>
        <v>45916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8.2" thickBot="1" x14ac:dyDescent="0.3">
      <c r="A9" s="157"/>
      <c r="B9" s="158"/>
      <c r="C9" s="158"/>
      <c r="D9" s="158"/>
      <c r="E9" s="158"/>
      <c r="F9" s="158"/>
      <c r="G9" s="140" t="s">
        <v>3691</v>
      </c>
      <c r="H9" s="140" t="s">
        <v>3692</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 customHeight="1" x14ac:dyDescent="0.25">
      <c r="A10" s="157"/>
      <c r="B10" s="158"/>
      <c r="C10" s="158"/>
      <c r="D10" s="158"/>
      <c r="E10" s="158"/>
      <c r="F10" s="158"/>
      <c r="G10" s="1799" t="s">
        <v>2173</v>
      </c>
      <c r="H10" s="1800"/>
      <c r="I10" s="1800"/>
      <c r="J10" s="1800"/>
      <c r="K10" s="1801"/>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3230</v>
      </c>
    </row>
    <row r="11" spans="1:94" s="161" customFormat="1" ht="40.200000000000003" thickBot="1" x14ac:dyDescent="0.35">
      <c r="A11" s="157"/>
      <c r="B11" s="158"/>
      <c r="C11" s="158"/>
      <c r="D11" s="158"/>
      <c r="E11" s="158"/>
      <c r="F11" s="158"/>
      <c r="G11" s="1802"/>
      <c r="H11" s="1803"/>
      <c r="I11" s="1803"/>
      <c r="J11" s="1803"/>
      <c r="K11" s="1804"/>
      <c r="M11" s="143" t="s">
        <v>2174</v>
      </c>
      <c r="N11" s="162">
        <f>'2. Roles &amp; Pricing'!E166</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8.2" thickBot="1" x14ac:dyDescent="0.3">
      <c r="A12" s="157"/>
      <c r="B12" s="158"/>
      <c r="C12" s="158"/>
      <c r="D12" s="158"/>
      <c r="E12" s="158"/>
      <c r="F12" s="158"/>
      <c r="G12" s="1805"/>
      <c r="H12" s="1806"/>
      <c r="I12" s="1806"/>
      <c r="J12" s="1806"/>
      <c r="K12" s="1807"/>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808" t="s">
        <v>1966</v>
      </c>
    </row>
    <row r="13" spans="1:94" s="161" customFormat="1" ht="28.2" thickBot="1" x14ac:dyDescent="0.35">
      <c r="A13" s="157"/>
      <c r="B13" s="158"/>
      <c r="C13" s="158"/>
      <c r="D13" s="158"/>
      <c r="E13" s="158"/>
      <c r="F13" s="158"/>
      <c r="G13" s="1810" t="s">
        <v>1967</v>
      </c>
      <c r="H13" s="1811"/>
      <c r="I13" s="1811"/>
      <c r="J13" s="1811"/>
      <c r="K13" s="1812"/>
      <c r="L13" s="1816" t="s">
        <v>1</v>
      </c>
      <c r="M13" s="1817"/>
      <c r="N13" s="166" t="s">
        <v>1968</v>
      </c>
      <c r="O13" s="1820" t="s">
        <v>1969</v>
      </c>
      <c r="P13" s="1820"/>
      <c r="Q13" s="1784"/>
      <c r="R13" s="1783" t="s">
        <v>1970</v>
      </c>
      <c r="S13" s="1784"/>
      <c r="T13" s="1783" t="s">
        <v>1971</v>
      </c>
      <c r="U13" s="1784"/>
      <c r="V13" s="1783" t="s">
        <v>1972</v>
      </c>
      <c r="W13" s="1820"/>
      <c r="X13" s="1820"/>
      <c r="Y13" s="1820"/>
      <c r="Z13" s="1820"/>
      <c r="AA13" s="1820"/>
      <c r="AB13" s="1820"/>
      <c r="AC13" s="1820"/>
      <c r="AD13" s="1820"/>
      <c r="AE13" s="1820"/>
      <c r="AF13" s="1820"/>
      <c r="AG13" s="1820"/>
      <c r="AH13" s="1820"/>
      <c r="AI13" s="1820"/>
      <c r="AJ13" s="1820"/>
      <c r="AK13" s="1820"/>
      <c r="AL13" s="1820"/>
      <c r="AM13" s="1820"/>
      <c r="AN13" s="1820"/>
      <c r="AO13" s="1820"/>
      <c r="AP13" s="1820"/>
      <c r="AQ13" s="1820"/>
      <c r="AR13" s="1820"/>
      <c r="AS13" s="1784"/>
      <c r="AT13" s="1783" t="s">
        <v>1973</v>
      </c>
      <c r="AU13" s="1784"/>
      <c r="AV13" s="1783" t="s">
        <v>1974</v>
      </c>
      <c r="AW13" s="1784"/>
      <c r="AX13" s="1783" t="s">
        <v>1975</v>
      </c>
      <c r="AY13" s="1784"/>
      <c r="AZ13" s="1783" t="s">
        <v>1976</v>
      </c>
      <c r="BA13" s="1784"/>
      <c r="BB13" s="1783" t="s">
        <v>1977</v>
      </c>
      <c r="BC13" s="1784"/>
      <c r="BD13" s="1783" t="s">
        <v>1973</v>
      </c>
      <c r="BE13" s="1784"/>
      <c r="BF13" s="1783" t="s">
        <v>1974</v>
      </c>
      <c r="BG13" s="1784"/>
      <c r="BH13" s="1783" t="s">
        <v>1975</v>
      </c>
      <c r="BI13" s="1784"/>
      <c r="BJ13" s="1783" t="s">
        <v>1976</v>
      </c>
      <c r="BK13" s="1784"/>
      <c r="BL13" s="1783" t="s">
        <v>1977</v>
      </c>
      <c r="BM13" s="1784"/>
      <c r="BN13" s="161" t="s">
        <v>2201</v>
      </c>
      <c r="BO13" s="161" t="s">
        <v>2200</v>
      </c>
      <c r="BR13" s="1809"/>
      <c r="BS13" s="1785" t="s">
        <v>2175</v>
      </c>
      <c r="BT13" s="1786"/>
      <c r="BU13" s="167"/>
    </row>
    <row r="14" spans="1:94" s="161" customFormat="1" ht="28.2" thickBot="1" x14ac:dyDescent="0.35">
      <c r="A14" s="157"/>
      <c r="B14" s="158"/>
      <c r="C14" s="158"/>
      <c r="D14" s="158"/>
      <c r="E14" s="158"/>
      <c r="F14" s="158"/>
      <c r="G14" s="1813"/>
      <c r="H14" s="1814"/>
      <c r="I14" s="1814"/>
      <c r="J14" s="1814"/>
      <c r="K14" s="1815"/>
      <c r="L14" s="1818"/>
      <c r="M14" s="1819"/>
      <c r="N14" s="168" t="s">
        <v>1978</v>
      </c>
      <c r="O14" s="1789" t="s">
        <v>1979</v>
      </c>
      <c r="P14" s="1789"/>
      <c r="Q14" s="1790"/>
      <c r="R14" s="1791" t="s">
        <v>1980</v>
      </c>
      <c r="S14" s="1792"/>
      <c r="T14" s="1791" t="s">
        <v>1980</v>
      </c>
      <c r="U14" s="1792"/>
      <c r="V14" s="1791" t="s">
        <v>1980</v>
      </c>
      <c r="W14" s="1793"/>
      <c r="X14" s="1793"/>
      <c r="Y14" s="1793"/>
      <c r="Z14" s="1793"/>
      <c r="AA14" s="1793"/>
      <c r="AB14" s="1793"/>
      <c r="AC14" s="1793"/>
      <c r="AD14" s="1793"/>
      <c r="AE14" s="1793"/>
      <c r="AF14" s="1793"/>
      <c r="AG14" s="1793"/>
      <c r="AH14" s="1793"/>
      <c r="AI14" s="1793"/>
      <c r="AJ14" s="1793"/>
      <c r="AK14" s="1793"/>
      <c r="AL14" s="1793"/>
      <c r="AM14" s="1793"/>
      <c r="AN14" s="1793"/>
      <c r="AO14" s="1793"/>
      <c r="AP14" s="1793"/>
      <c r="AQ14" s="1793"/>
      <c r="AR14" s="1793"/>
      <c r="AS14" s="1792"/>
      <c r="AT14" s="1791" t="s">
        <v>1980</v>
      </c>
      <c r="AU14" s="1792"/>
      <c r="AV14" s="1791" t="s">
        <v>1980</v>
      </c>
      <c r="AW14" s="1792"/>
      <c r="AX14" s="1791" t="s">
        <v>1980</v>
      </c>
      <c r="AY14" s="1792"/>
      <c r="AZ14" s="1794" t="s">
        <v>1981</v>
      </c>
      <c r="BA14" s="1795"/>
      <c r="BB14" s="1794" t="s">
        <v>1982</v>
      </c>
      <c r="BC14" s="1795"/>
      <c r="BD14" s="1791" t="s">
        <v>1980</v>
      </c>
      <c r="BE14" s="1792"/>
      <c r="BF14" s="1791" t="s">
        <v>1980</v>
      </c>
      <c r="BG14" s="1792"/>
      <c r="BH14" s="1791" t="s">
        <v>1980</v>
      </c>
      <c r="BI14" s="1792"/>
      <c r="BJ14" s="1794" t="s">
        <v>1981</v>
      </c>
      <c r="BK14" s="1795"/>
      <c r="BL14" s="1794" t="s">
        <v>1982</v>
      </c>
      <c r="BM14" s="1795"/>
      <c r="BN14" s="1796" t="s">
        <v>1983</v>
      </c>
      <c r="BO14" s="1797"/>
      <c r="BP14" s="1797"/>
      <c r="BQ14" s="1797"/>
      <c r="BR14" s="1798"/>
      <c r="BS14" s="1787"/>
      <c r="BT14" s="1788"/>
      <c r="BU14" s="167"/>
    </row>
    <row r="15" spans="1:94" s="191" customFormat="1" ht="40.200000000000003" thickBot="1" x14ac:dyDescent="0.35">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21" thickBot="1" x14ac:dyDescent="0.35">
      <c r="A16" s="192">
        <v>1</v>
      </c>
      <c r="B16" s="193">
        <v>3</v>
      </c>
      <c r="C16" s="193" t="str">
        <f t="shared" ref="C16:C33" si="46">G16&amp;"__"&amp;H16</f>
        <v>Acquia__Acquia CDP</v>
      </c>
      <c r="D16" s="193" t="str">
        <f t="shared" ref="D16:D33" si="47">G16&amp;"__"&amp;H16&amp;"__"&amp;I16</f>
        <v>Acquia__Acquia CDP__Acquia CDP</v>
      </c>
      <c r="E16" s="193">
        <v>21</v>
      </c>
      <c r="F16" s="193">
        <v>8</v>
      </c>
      <c r="G16" s="194" t="str">
        <f>'2. Roles &amp; Pricing'!D48</f>
        <v>Acquia</v>
      </c>
      <c r="H16" s="194" t="str">
        <f>'2. Roles &amp; Pricing'!F48</f>
        <v>Acquia CDP</v>
      </c>
      <c r="I16" s="194" t="str">
        <f>'2. Roles &amp; Pricing'!F48</f>
        <v>Acquia CDP</v>
      </c>
      <c r="J16" s="196" t="str">
        <f>'2. Roles &amp; Pricing'!K48</f>
        <v>Data Analyst</v>
      </c>
      <c r="K16" s="197" t="str">
        <f>'2. Roles &amp; Pricing'!W48</f>
        <v>Onshore</v>
      </c>
      <c r="L16" s="195"/>
      <c r="M16" s="196"/>
      <c r="N16" s="707">
        <f>IFERROR('2. Roles &amp; Pricing'!F170/40,"")</f>
        <v>1</v>
      </c>
      <c r="O16" s="707">
        <f>IFERROR('2. Roles &amp; Pricing'!I170/40,"")</f>
        <v>1</v>
      </c>
      <c r="P16" s="707">
        <f>IFERROR('2. Roles &amp; Pricing'!K170/40,"")</f>
        <v>1</v>
      </c>
      <c r="Q16" s="707">
        <f>IFERROR('2. Roles &amp; Pricing'!L170/40,"")</f>
        <v>1</v>
      </c>
      <c r="R16" s="707">
        <f>IFERROR('2. Roles &amp; Pricing'!M170/40,"")</f>
        <v>1</v>
      </c>
      <c r="S16" s="1620">
        <f>IFERROR('2. Roles &amp; Pricing'!N170/40,"")</f>
        <v>1</v>
      </c>
      <c r="T16" s="707">
        <f>IFERROR('2. Roles &amp; Pricing'!O170/40,"")</f>
        <v>1</v>
      </c>
      <c r="U16" s="709">
        <f>IFERROR('2. Roles &amp; Pricing'!P170/40,"")</f>
        <v>1</v>
      </c>
      <c r="V16" s="709">
        <f>IFERROR('2. Roles &amp; Pricing'!Q170/40,"")</f>
        <v>1</v>
      </c>
      <c r="W16" s="709">
        <f>IFERROR('2. Roles &amp; Pricing'!R170/40,"")</f>
        <v>1</v>
      </c>
      <c r="X16" s="708">
        <f>IFERROR('2. Roles &amp; Pricing'!S170/40,"")</f>
        <v>1</v>
      </c>
      <c r="Y16" s="708">
        <f>IFERROR('2. Roles &amp; Pricing'!T170/40,"")</f>
        <v>1</v>
      </c>
      <c r="Z16" s="708">
        <f>IFERROR('2. Roles &amp; Pricing'!U170/40,"")</f>
        <v>1</v>
      </c>
      <c r="AA16" s="708">
        <f>IFERROR('2. Roles &amp; Pricing'!Y170/40,"")</f>
        <v>1</v>
      </c>
      <c r="AB16" s="708">
        <f>IFERROR('2. Roles &amp; Pricing'!Z170/40,"")</f>
        <v>1</v>
      </c>
      <c r="AC16" s="708">
        <f>IFERROR('2. Roles &amp; Pricing'!AA170/40,"")</f>
        <v>1</v>
      </c>
      <c r="AD16" s="708">
        <f>IFERROR('2. Roles &amp; Pricing'!AB170/40,"")</f>
        <v>1</v>
      </c>
      <c r="AE16" s="708">
        <f>IFERROR('2. Roles &amp; Pricing'!AG170/40,"")</f>
        <v>1</v>
      </c>
      <c r="AF16" s="708">
        <f>IFERROR('2. Roles &amp; Pricing'!AH170/40,"")</f>
        <v>1</v>
      </c>
      <c r="AG16" s="708">
        <f>IFERROR('2. Roles &amp; Pricing'!AI170/40,"")</f>
        <v>1</v>
      </c>
      <c r="AH16" s="708">
        <f>IFERROR('2. Roles &amp; Pricing'!AJ170/40,"")</f>
        <v>1</v>
      </c>
      <c r="AI16" s="708">
        <f>IFERROR('2. Roles &amp; Pricing'!AK170/40,"")</f>
        <v>1</v>
      </c>
      <c r="AJ16" s="708">
        <f>IFERROR('2. Roles &amp; Pricing'!AL170/40,"")</f>
        <v>1</v>
      </c>
      <c r="AK16" s="708">
        <f>IFERROR('2. Roles &amp; Pricing'!AM170/40,"")</f>
        <v>1</v>
      </c>
      <c r="AL16" s="708">
        <f>IFERROR('2. Roles &amp; Pricing'!AN170/40,"")</f>
        <v>1</v>
      </c>
      <c r="AM16" s="708">
        <f>IFERROR('2. Roles &amp; Pricing'!AO170/40,"")</f>
        <v>1</v>
      </c>
      <c r="AN16" s="708">
        <f>IFERROR('2. Roles &amp; Pricing'!AP170/40,"")</f>
        <v>1</v>
      </c>
      <c r="AO16" s="708">
        <f>IFERROR('2. Roles &amp; Pricing'!AQ170/40,"")</f>
        <v>1</v>
      </c>
      <c r="AP16" s="708">
        <f>IFERROR('2. Roles &amp; Pricing'!AR170/40,"")</f>
        <v>1</v>
      </c>
      <c r="AQ16" s="708">
        <f>IFERROR('2. Roles &amp; Pricing'!AS170/40,"")</f>
        <v>1</v>
      </c>
      <c r="AR16" s="708" t="str">
        <f>IFERROR('2. Roles &amp; Pricing'!AT170/40,"")</f>
        <v/>
      </c>
      <c r="AS16" s="708" t="str">
        <f>IFERROR('2. Roles &amp; Pricing'!AU170/40,"")</f>
        <v/>
      </c>
      <c r="AT16" s="708" t="str">
        <f>IFERROR('2. Roles &amp; Pricing'!AV170/40,"")</f>
        <v/>
      </c>
      <c r="AU16" s="708" t="str">
        <f>IFERROR('2. Roles &amp; Pricing'!AW170/40,"")</f>
        <v/>
      </c>
      <c r="AV16" s="708" t="str">
        <f>IFERROR('2. Roles &amp; Pricing'!AX170/40,"")</f>
        <v/>
      </c>
      <c r="AW16" s="708" t="str">
        <f>IFERROR('2. Roles &amp; Pricing'!AY170/40,"")</f>
        <v/>
      </c>
      <c r="AX16" s="708" t="str">
        <f>IFERROR('2. Roles &amp; Pricing'!AZ170/40,"")</f>
        <v/>
      </c>
      <c r="AY16" s="708" t="str">
        <f>IFERROR('2. Roles &amp; Pricing'!BA170/40,"")</f>
        <v/>
      </c>
      <c r="AZ16" s="708" t="str">
        <f>IFERROR('2. Roles &amp; Pricing'!BB170/40,"")</f>
        <v/>
      </c>
      <c r="BA16" s="708" t="str">
        <f>IFERROR('2. Roles &amp; Pricing'!BC170/40,"")</f>
        <v/>
      </c>
      <c r="BB16" s="708" t="str">
        <f>IFERROR('2. Roles &amp; Pricing'!BD170/40,"")</f>
        <v/>
      </c>
      <c r="BC16" s="708" t="str">
        <f>IFERROR('2. Roles &amp; Pricing'!BE170/40,"")</f>
        <v/>
      </c>
      <c r="BD16" s="708" t="str">
        <f>IFERROR('2. Roles &amp; Pricing'!BF170/40,"")</f>
        <v/>
      </c>
      <c r="BE16" s="708" t="str">
        <f>IFERROR('2. Roles &amp; Pricing'!BG170/40,"")</f>
        <v/>
      </c>
      <c r="BF16" s="708" t="str">
        <f>IFERROR('2. Roles &amp; Pricing'!BH170/40,"")</f>
        <v/>
      </c>
      <c r="BG16" s="708" t="str">
        <f>IFERROR('2. Roles &amp; Pricing'!BI170/40,"")</f>
        <v/>
      </c>
      <c r="BH16" s="708" t="str">
        <f>IFERROR('2. Roles &amp; Pricing'!BJ170/40,"")</f>
        <v/>
      </c>
      <c r="BI16" s="708" t="str">
        <f>IFERROR('2. Roles &amp; Pricing'!BK170/40,"")</f>
        <v/>
      </c>
      <c r="BJ16" s="708" t="str">
        <f>IFERROR('2. Roles &amp; Pricing'!BL170/40,"")</f>
        <v/>
      </c>
      <c r="BK16" s="708" t="str">
        <f>IFERROR('2. Roles &amp; Pricing'!BM170/40,"")</f>
        <v/>
      </c>
      <c r="BL16" s="708" t="str">
        <f>IFERROR('2. Roles &amp; Pricing'!BN170/40,"")</f>
        <v/>
      </c>
      <c r="BM16" s="708" t="str">
        <f>IFERROR('2. Roles &amp; Pricing'!BO170/40,"")</f>
        <v/>
      </c>
      <c r="BN16" s="626">
        <f>SUM(N16:BM16)</f>
        <v>30</v>
      </c>
      <c r="BO16" s="198">
        <f>+BN16*5</f>
        <v>150</v>
      </c>
      <c r="BP16" s="199">
        <f>'2. Roles &amp; Pricing'!D291</f>
        <v>192000</v>
      </c>
      <c r="BQ16" s="199">
        <f>'2. Roles &amp; Pricing'!F291</f>
        <v>102000</v>
      </c>
      <c r="BR16" s="623">
        <f>'2. Roles &amp; Pricing'!F291</f>
        <v>102000</v>
      </c>
      <c r="BS16" s="200">
        <f>'2. Roles &amp; Pricing'!I291</f>
        <v>160</v>
      </c>
      <c r="BT16" s="201">
        <f>BP16</f>
        <v>192000</v>
      </c>
      <c r="BU16" s="202">
        <f t="shared" ref="BU16:BU33" si="48">BO16*8</f>
        <v>1200</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21" thickBot="1" x14ac:dyDescent="0.35">
      <c r="A17" s="205">
        <v>2</v>
      </c>
      <c r="B17" s="206">
        <v>3</v>
      </c>
      <c r="C17" s="207" t="str">
        <f t="shared" si="46"/>
        <v>Acquia__Acquia CDP</v>
      </c>
      <c r="D17" s="207" t="str">
        <f t="shared" si="47"/>
        <v>Acquia__Acquia CDP__Acquia CDP</v>
      </c>
      <c r="E17" s="207">
        <v>21</v>
      </c>
      <c r="F17" s="207">
        <v>8</v>
      </c>
      <c r="G17" s="208" t="str">
        <f>'2. Roles &amp; Pricing'!D49</f>
        <v>Acquia</v>
      </c>
      <c r="H17" s="194" t="str">
        <f>'2. Roles &amp; Pricing'!F49</f>
        <v>Acquia CDP</v>
      </c>
      <c r="I17" s="210" t="str">
        <f>'2. Roles &amp; Pricing'!F49</f>
        <v>Acquia CDP</v>
      </c>
      <c r="J17" s="210" t="str">
        <f>'2. Roles &amp; Pricing'!K49</f>
        <v>Data Analyst</v>
      </c>
      <c r="K17" s="197" t="str">
        <f>'2. Roles &amp; Pricing'!W49</f>
        <v>Offshore</v>
      </c>
      <c r="L17" s="209"/>
      <c r="M17" s="210"/>
      <c r="N17" s="707">
        <f>IFERROR('2. Roles &amp; Pricing'!F171/40,"")</f>
        <v>0</v>
      </c>
      <c r="O17" s="707">
        <f>IFERROR('2. Roles &amp; Pricing'!I171/40,"")</f>
        <v>0</v>
      </c>
      <c r="P17" s="707">
        <f>IFERROR('2. Roles &amp; Pricing'!K171/40,"")</f>
        <v>0</v>
      </c>
      <c r="Q17" s="707">
        <f>IFERROR('2. Roles &amp; Pricing'!L171/40,"")</f>
        <v>0</v>
      </c>
      <c r="R17" s="707">
        <f>IFERROR('2. Roles &amp; Pricing'!M171/40,"")</f>
        <v>1</v>
      </c>
      <c r="S17" s="707">
        <f>IFERROR('2. Roles &amp; Pricing'!N171/40,"")</f>
        <v>1</v>
      </c>
      <c r="T17" s="707">
        <f>IFERROR('2. Roles &amp; Pricing'!O171/40,"")</f>
        <v>1</v>
      </c>
      <c r="U17" s="709">
        <f>IFERROR('2. Roles &amp; Pricing'!P171/40,"")</f>
        <v>1</v>
      </c>
      <c r="V17" s="709">
        <f>IFERROR('2. Roles &amp; Pricing'!Q171/40,"")</f>
        <v>1</v>
      </c>
      <c r="W17" s="709">
        <f>IFERROR('2. Roles &amp; Pricing'!R171/40,"")</f>
        <v>1</v>
      </c>
      <c r="X17" s="708">
        <f>IFERROR('2. Roles &amp; Pricing'!S171/40,"")</f>
        <v>1</v>
      </c>
      <c r="Y17" s="708">
        <f>IFERROR('2. Roles &amp; Pricing'!T171/40,"")</f>
        <v>1</v>
      </c>
      <c r="Z17" s="708">
        <f>IFERROR('2. Roles &amp; Pricing'!U171/40,"")</f>
        <v>1</v>
      </c>
      <c r="AA17" s="708">
        <f>IFERROR('2. Roles &amp; Pricing'!Y171/40,"")</f>
        <v>0</v>
      </c>
      <c r="AB17" s="708">
        <f>IFERROR('2. Roles &amp; Pricing'!Z171/40,"")</f>
        <v>0</v>
      </c>
      <c r="AC17" s="708">
        <f>IFERROR('2. Roles &amp; Pricing'!AA171/40,"")</f>
        <v>0</v>
      </c>
      <c r="AD17" s="708">
        <f>IFERROR('2. Roles &amp; Pricing'!AB171/40,"")</f>
        <v>0</v>
      </c>
      <c r="AE17" s="708">
        <f>IFERROR('2. Roles &amp; Pricing'!AG171/40,"")</f>
        <v>1</v>
      </c>
      <c r="AF17" s="708">
        <f>IFERROR('2. Roles &amp; Pricing'!AH171/40,"")</f>
        <v>1</v>
      </c>
      <c r="AG17" s="708">
        <f>IFERROR('2. Roles &amp; Pricing'!AI171/40,"")</f>
        <v>1</v>
      </c>
      <c r="AH17" s="708">
        <f>IFERROR('2. Roles &amp; Pricing'!AJ171/40,"")</f>
        <v>1</v>
      </c>
      <c r="AI17" s="708">
        <f>IFERROR('2. Roles &amp; Pricing'!AK171/40,"")</f>
        <v>1</v>
      </c>
      <c r="AJ17" s="708">
        <f>IFERROR('2. Roles &amp; Pricing'!AL171/40,"")</f>
        <v>1</v>
      </c>
      <c r="AK17" s="708">
        <f>IFERROR('2. Roles &amp; Pricing'!AM171/40,"")</f>
        <v>1</v>
      </c>
      <c r="AL17" s="708">
        <f>IFERROR('2. Roles &amp; Pricing'!AN171/40,"")</f>
        <v>1</v>
      </c>
      <c r="AM17" s="708">
        <f>IFERROR('2. Roles &amp; Pricing'!AO171/40,"")</f>
        <v>1</v>
      </c>
      <c r="AN17" s="708">
        <f>IFERROR('2. Roles &amp; Pricing'!AP171/40,"")</f>
        <v>1</v>
      </c>
      <c r="AO17" s="708">
        <f>IFERROR('2. Roles &amp; Pricing'!AQ171/40,"")</f>
        <v>1</v>
      </c>
      <c r="AP17" s="708">
        <f>IFERROR('2. Roles &amp; Pricing'!AR171/40,"")</f>
        <v>1</v>
      </c>
      <c r="AQ17" s="708">
        <f>IFERROR('2. Roles &amp; Pricing'!AS171/40,"")</f>
        <v>1</v>
      </c>
      <c r="AR17" s="708" t="str">
        <f>IFERROR('2. Roles &amp; Pricing'!AT171/40,"")</f>
        <v/>
      </c>
      <c r="AS17" s="708" t="str">
        <f>IFERROR('2. Roles &amp; Pricing'!AU171/40,"")</f>
        <v/>
      </c>
      <c r="AT17" s="708" t="str">
        <f>IFERROR('2. Roles &amp; Pricing'!AV171/40,"")</f>
        <v/>
      </c>
      <c r="AU17" s="708" t="str">
        <f>IFERROR('2. Roles &amp; Pricing'!AW171/40,"")</f>
        <v/>
      </c>
      <c r="AV17" s="708" t="str">
        <f>IFERROR('2. Roles &amp; Pricing'!AX171/40,"")</f>
        <v/>
      </c>
      <c r="AW17" s="708" t="str">
        <f>IFERROR('2. Roles &amp; Pricing'!AY171/40,"")</f>
        <v/>
      </c>
      <c r="AX17" s="708" t="str">
        <f>IFERROR('2. Roles &amp; Pricing'!AZ171/40,"")</f>
        <v/>
      </c>
      <c r="AY17" s="708" t="str">
        <f>IFERROR('2. Roles &amp; Pricing'!BA171/40,"")</f>
        <v/>
      </c>
      <c r="AZ17" s="708" t="str">
        <f>IFERROR('2. Roles &amp; Pricing'!BB171/40,"")</f>
        <v/>
      </c>
      <c r="BA17" s="708" t="str">
        <f>IFERROR('2. Roles &amp; Pricing'!BC171/40,"")</f>
        <v/>
      </c>
      <c r="BB17" s="708" t="str">
        <f>IFERROR('2. Roles &amp; Pricing'!BD171/40,"")</f>
        <v/>
      </c>
      <c r="BC17" s="708" t="str">
        <f>IFERROR('2. Roles &amp; Pricing'!BE171/40,"")</f>
        <v/>
      </c>
      <c r="BD17" s="708" t="str">
        <f>IFERROR('2. Roles &amp; Pricing'!BF171/40,"")</f>
        <v/>
      </c>
      <c r="BE17" s="708" t="str">
        <f>IFERROR('2. Roles &amp; Pricing'!BG171/40,"")</f>
        <v/>
      </c>
      <c r="BF17" s="708" t="str">
        <f>IFERROR('2. Roles &amp; Pricing'!BH171/40,"")</f>
        <v/>
      </c>
      <c r="BG17" s="708" t="str">
        <f>IFERROR('2. Roles &amp; Pricing'!BI171/40,"")</f>
        <v/>
      </c>
      <c r="BH17" s="708" t="str">
        <f>IFERROR('2. Roles &amp; Pricing'!BJ171/40,"")</f>
        <v/>
      </c>
      <c r="BI17" s="708" t="str">
        <f>IFERROR('2. Roles &amp; Pricing'!BK171/40,"")</f>
        <v/>
      </c>
      <c r="BJ17" s="708" t="str">
        <f>IFERROR('2. Roles &amp; Pricing'!BL171/40,"")</f>
        <v/>
      </c>
      <c r="BK17" s="708" t="str">
        <f>IFERROR('2. Roles &amp; Pricing'!BM171/40,"")</f>
        <v/>
      </c>
      <c r="BL17" s="708" t="str">
        <f>IFERROR('2. Roles &amp; Pricing'!BN171/40,"")</f>
        <v/>
      </c>
      <c r="BM17" s="708" t="str">
        <f>IFERROR('2. Roles &amp; Pricing'!BO171/40,"")</f>
        <v/>
      </c>
      <c r="BN17" s="212">
        <f t="shared" ref="BN17:BN33" si="49">SUM(N17:BM17)</f>
        <v>22</v>
      </c>
      <c r="BO17" s="213">
        <f t="shared" ref="BO17:BO33" si="50">+BN17*5</f>
        <v>110</v>
      </c>
      <c r="BP17" s="199">
        <f>'2. Roles &amp; Pricing'!D292</f>
        <v>48400</v>
      </c>
      <c r="BQ17" s="199">
        <f>'2. Roles &amp; Pricing'!F292</f>
        <v>15840</v>
      </c>
      <c r="BR17" s="623">
        <f>'2. Roles &amp; Pricing'!F292</f>
        <v>15840</v>
      </c>
      <c r="BS17" s="200">
        <f>'2. Roles &amp; Pricing'!I292</f>
        <v>55</v>
      </c>
      <c r="BT17" s="201">
        <f t="shared" ref="BT17:BT33" si="51">BP17</f>
        <v>48400</v>
      </c>
      <c r="BU17" s="214">
        <f t="shared" si="48"/>
        <v>880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21" thickBot="1" x14ac:dyDescent="0.35">
      <c r="A18" s="205">
        <v>3</v>
      </c>
      <c r="B18" s="206">
        <v>3</v>
      </c>
      <c r="C18" s="207" t="str">
        <f t="shared" si="46"/>
        <v>Experience Design__Design</v>
      </c>
      <c r="D18" s="207" t="str">
        <f t="shared" si="47"/>
        <v>Experience Design__Design__Design</v>
      </c>
      <c r="E18" s="207">
        <v>20</v>
      </c>
      <c r="F18" s="207">
        <v>10</v>
      </c>
      <c r="G18" s="208" t="str">
        <f>'2. Roles &amp; Pricing'!D50</f>
        <v>Experience Design</v>
      </c>
      <c r="H18" s="194" t="str">
        <f>'2. Roles &amp; Pricing'!F50</f>
        <v>Design</v>
      </c>
      <c r="I18" s="210" t="str">
        <f>'2. Roles &amp; Pricing'!F50</f>
        <v>Design</v>
      </c>
      <c r="J18" s="210" t="str">
        <f>'2. Roles &amp; Pricing'!K50</f>
        <v>UX Designer</v>
      </c>
      <c r="K18" s="197" t="str">
        <f>'2. Roles &amp; Pricing'!W50</f>
        <v>Onshore</v>
      </c>
      <c r="L18" s="209"/>
      <c r="M18" s="210"/>
      <c r="N18" s="707">
        <f>IFERROR('2. Roles &amp; Pricing'!F172/40,"")</f>
        <v>1</v>
      </c>
      <c r="O18" s="707">
        <f>IFERROR('2. Roles &amp; Pricing'!I172/40,"")</f>
        <v>1</v>
      </c>
      <c r="P18" s="707">
        <f>IFERROR('2. Roles &amp; Pricing'!K172/40,"")</f>
        <v>1</v>
      </c>
      <c r="Q18" s="707">
        <f>IFERROR('2. Roles &amp; Pricing'!L172/40,"")</f>
        <v>1</v>
      </c>
      <c r="R18" s="707">
        <f>IFERROR('2. Roles &amp; Pricing'!M172/40,"")</f>
        <v>1</v>
      </c>
      <c r="S18" s="707">
        <f>IFERROR('2. Roles &amp; Pricing'!N172/40,"")</f>
        <v>1</v>
      </c>
      <c r="T18" s="707">
        <f>IFERROR('2. Roles &amp; Pricing'!O172/40,"")</f>
        <v>1</v>
      </c>
      <c r="U18" s="709">
        <f>IFERROR('2. Roles &amp; Pricing'!P172/40,"")</f>
        <v>1</v>
      </c>
      <c r="V18" s="709">
        <f>IFERROR('2. Roles &amp; Pricing'!Q172/40,"")</f>
        <v>1</v>
      </c>
      <c r="W18" s="709">
        <f>IFERROR('2. Roles &amp; Pricing'!R172/40,"")</f>
        <v>1</v>
      </c>
      <c r="X18" s="708">
        <f>IFERROR('2. Roles &amp; Pricing'!S172/40,"")</f>
        <v>1</v>
      </c>
      <c r="Y18" s="708">
        <f>IFERROR('2. Roles &amp; Pricing'!T172/40,"")</f>
        <v>1</v>
      </c>
      <c r="Z18" s="708">
        <f>IFERROR('2. Roles &amp; Pricing'!U172/40,"")</f>
        <v>1</v>
      </c>
      <c r="AA18" s="708">
        <f>IFERROR('2. Roles &amp; Pricing'!Y172/40,"")</f>
        <v>1</v>
      </c>
      <c r="AB18" s="708">
        <f>IFERROR('2. Roles &amp; Pricing'!Z172/40,"")</f>
        <v>1</v>
      </c>
      <c r="AC18" s="708">
        <f>IFERROR('2. Roles &amp; Pricing'!AA172/40,"")</f>
        <v>1</v>
      </c>
      <c r="AD18" s="708">
        <f>IFERROR('2. Roles &amp; Pricing'!AB172/40,"")</f>
        <v>1</v>
      </c>
      <c r="AE18" s="708">
        <f>IFERROR('2. Roles &amp; Pricing'!AG172/40,"")</f>
        <v>1</v>
      </c>
      <c r="AF18" s="708">
        <f>IFERROR('2. Roles &amp; Pricing'!AH172/40,"")</f>
        <v>1</v>
      </c>
      <c r="AG18" s="708">
        <f>IFERROR('2. Roles &amp; Pricing'!AI172/40,"")</f>
        <v>1</v>
      </c>
      <c r="AH18" s="708">
        <f>IFERROR('2. Roles &amp; Pricing'!AJ172/40,"")</f>
        <v>1</v>
      </c>
      <c r="AI18" s="708">
        <f>IFERROR('2. Roles &amp; Pricing'!AK172/40,"")</f>
        <v>1</v>
      </c>
      <c r="AJ18" s="708">
        <f>IFERROR('2. Roles &amp; Pricing'!AL172/40,"")</f>
        <v>1</v>
      </c>
      <c r="AK18" s="708">
        <f>IFERROR('2. Roles &amp; Pricing'!AM172/40,"")</f>
        <v>1</v>
      </c>
      <c r="AL18" s="708">
        <f>IFERROR('2. Roles &amp; Pricing'!AN172/40,"")</f>
        <v>1</v>
      </c>
      <c r="AM18" s="708">
        <f>IFERROR('2. Roles &amp; Pricing'!AO172/40,"")</f>
        <v>1</v>
      </c>
      <c r="AN18" s="708">
        <f>IFERROR('2. Roles &amp; Pricing'!AP172/40,"")</f>
        <v>1</v>
      </c>
      <c r="AO18" s="708">
        <f>IFERROR('2. Roles &amp; Pricing'!AQ172/40,"")</f>
        <v>1</v>
      </c>
      <c r="AP18" s="708">
        <f>IFERROR('2. Roles &amp; Pricing'!AR172/40,"")</f>
        <v>1</v>
      </c>
      <c r="AQ18" s="708">
        <f>IFERROR('2. Roles &amp; Pricing'!AS172/40,"")</f>
        <v>1</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30</v>
      </c>
      <c r="BO18" s="213">
        <f t="shared" si="50"/>
        <v>150</v>
      </c>
      <c r="BP18" s="199">
        <f>'2. Roles &amp; Pricing'!D293</f>
        <v>204000</v>
      </c>
      <c r="BQ18" s="199">
        <f>'2. Roles &amp; Pricing'!F293</f>
        <v>84000</v>
      </c>
      <c r="BR18" s="623">
        <f>'2. Roles &amp; Pricing'!F293</f>
        <v>84000</v>
      </c>
      <c r="BS18" s="200">
        <f>'2. Roles &amp; Pricing'!I293</f>
        <v>170</v>
      </c>
      <c r="BT18" s="201">
        <f t="shared" si="51"/>
        <v>204000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21" thickBot="1" x14ac:dyDescent="0.35">
      <c r="A19" s="205">
        <v>4</v>
      </c>
      <c r="B19" s="206">
        <v>3</v>
      </c>
      <c r="C19" s="207" t="str">
        <f t="shared" si="46"/>
        <v>Experience Design__Design</v>
      </c>
      <c r="D19" s="207" t="str">
        <f t="shared" si="47"/>
        <v>Experience Design__Design__Design</v>
      </c>
      <c r="E19" s="207">
        <v>21</v>
      </c>
      <c r="F19" s="207">
        <v>8</v>
      </c>
      <c r="G19" s="208" t="str">
        <f>'2. Roles &amp; Pricing'!D51</f>
        <v>Experience Design</v>
      </c>
      <c r="H19" s="194" t="str">
        <f>'2. Roles &amp; Pricing'!F51</f>
        <v>Design</v>
      </c>
      <c r="I19" s="210" t="str">
        <f>'2. Roles &amp; Pricing'!F51</f>
        <v>Design</v>
      </c>
      <c r="J19" s="210" t="str">
        <f>'2. Roles &amp; Pricing'!K51</f>
        <v>UX Designer</v>
      </c>
      <c r="K19" s="197" t="str">
        <f>'2. Roles &amp; Pricing'!W51</f>
        <v>Offshore</v>
      </c>
      <c r="L19" s="209"/>
      <c r="M19" s="210"/>
      <c r="N19" s="707">
        <f>IFERROR('2. Roles &amp; Pricing'!F173/40,"")</f>
        <v>1</v>
      </c>
      <c r="O19" s="707">
        <f>IFERROR('2. Roles &amp; Pricing'!I173/40,"")</f>
        <v>1</v>
      </c>
      <c r="P19" s="707">
        <f>IFERROR('2. Roles &amp; Pricing'!K173/40,"")</f>
        <v>1</v>
      </c>
      <c r="Q19" s="707">
        <f>IFERROR('2. Roles &amp; Pricing'!L173/40,"")</f>
        <v>1</v>
      </c>
      <c r="R19" s="707">
        <f>IFERROR('2. Roles &amp; Pricing'!M173/40,"")</f>
        <v>1</v>
      </c>
      <c r="S19" s="707">
        <f>IFERROR('2. Roles &amp; Pricing'!N173/40,"")</f>
        <v>1</v>
      </c>
      <c r="T19" s="707">
        <f>IFERROR('2. Roles &amp; Pricing'!O173/40,"")</f>
        <v>1</v>
      </c>
      <c r="U19" s="709">
        <f>IFERROR('2. Roles &amp; Pricing'!P173/40,"")</f>
        <v>1</v>
      </c>
      <c r="V19" s="709">
        <f>IFERROR('2. Roles &amp; Pricing'!Q173/40,"")</f>
        <v>1</v>
      </c>
      <c r="W19" s="709">
        <f>IFERROR('2. Roles &amp; Pricing'!R173/40,"")</f>
        <v>1</v>
      </c>
      <c r="X19" s="708">
        <f>IFERROR('2. Roles &amp; Pricing'!S173/40,"")</f>
        <v>1</v>
      </c>
      <c r="Y19" s="708">
        <f>IFERROR('2. Roles &amp; Pricing'!T173/40,"")</f>
        <v>1</v>
      </c>
      <c r="Z19" s="708">
        <f>IFERROR('2. Roles &amp; Pricing'!U173/40,"")</f>
        <v>1</v>
      </c>
      <c r="AA19" s="708">
        <f>IFERROR('2. Roles &amp; Pricing'!Y173/40,"")</f>
        <v>1</v>
      </c>
      <c r="AB19" s="708">
        <f>IFERROR('2. Roles &amp; Pricing'!Z173/40,"")</f>
        <v>1</v>
      </c>
      <c r="AC19" s="708">
        <f>IFERROR('2. Roles &amp; Pricing'!AA173/40,"")</f>
        <v>1</v>
      </c>
      <c r="AD19" s="708">
        <f>IFERROR('2. Roles &amp; Pricing'!AB173/40,"")</f>
        <v>1</v>
      </c>
      <c r="AE19" s="708">
        <f>IFERROR('2. Roles &amp; Pricing'!AG173/40,"")</f>
        <v>1</v>
      </c>
      <c r="AF19" s="708">
        <f>IFERROR('2. Roles &amp; Pricing'!AH173/40,"")</f>
        <v>1</v>
      </c>
      <c r="AG19" s="708">
        <f>IFERROR('2. Roles &amp; Pricing'!AI173/40,"")</f>
        <v>1</v>
      </c>
      <c r="AH19" s="708">
        <f>IFERROR('2. Roles &amp; Pricing'!AJ173/40,"")</f>
        <v>1</v>
      </c>
      <c r="AI19" s="708">
        <f>IFERROR('2. Roles &amp; Pricing'!AK173/40,"")</f>
        <v>1</v>
      </c>
      <c r="AJ19" s="708">
        <f>IFERROR('2. Roles &amp; Pricing'!AL173/40,"")</f>
        <v>1</v>
      </c>
      <c r="AK19" s="708">
        <f>IFERROR('2. Roles &amp; Pricing'!AM173/40,"")</f>
        <v>1</v>
      </c>
      <c r="AL19" s="708">
        <f>IFERROR('2. Roles &amp; Pricing'!AN173/40,"")</f>
        <v>1</v>
      </c>
      <c r="AM19" s="708">
        <f>IFERROR('2. Roles &amp; Pricing'!AO173/40,"")</f>
        <v>1</v>
      </c>
      <c r="AN19" s="708">
        <f>IFERROR('2. Roles &amp; Pricing'!AP173/40,"")</f>
        <v>1</v>
      </c>
      <c r="AO19" s="708">
        <f>IFERROR('2. Roles &amp; Pricing'!AQ173/40,"")</f>
        <v>1</v>
      </c>
      <c r="AP19" s="708">
        <f>IFERROR('2. Roles &amp; Pricing'!AR173/40,"")</f>
        <v>1</v>
      </c>
      <c r="AQ19" s="708">
        <f>IFERROR('2. Roles &amp; Pricing'!AS173/40,"")</f>
        <v>1</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30</v>
      </c>
      <c r="BO19" s="213">
        <f t="shared" si="50"/>
        <v>150</v>
      </c>
      <c r="BP19" s="199">
        <f>'2. Roles &amp; Pricing'!D294</f>
        <v>66000</v>
      </c>
      <c r="BQ19" s="199">
        <f>'2. Roles &amp; Pricing'!F294</f>
        <v>21600</v>
      </c>
      <c r="BR19" s="623">
        <f>'2. Roles &amp; Pricing'!F294</f>
        <v>21600</v>
      </c>
      <c r="BS19" s="200">
        <f>'2. Roles &amp; Pricing'!I294</f>
        <v>55</v>
      </c>
      <c r="BT19" s="201">
        <f t="shared" si="51"/>
        <v>66000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21" thickBot="1" x14ac:dyDescent="0.35">
      <c r="A20" s="205">
        <v>5</v>
      </c>
      <c r="B20" s="206">
        <v>3</v>
      </c>
      <c r="C20" s="207" t="str">
        <f t="shared" si="46"/>
        <v>Adobe__Adobe UI</v>
      </c>
      <c r="D20" s="207" t="str">
        <f t="shared" si="47"/>
        <v>Adobe__Adobe UI__Adobe UI</v>
      </c>
      <c r="E20" s="207">
        <v>21</v>
      </c>
      <c r="F20" s="207">
        <v>8</v>
      </c>
      <c r="G20" s="208" t="str">
        <f>'2. Roles &amp; Pricing'!D52</f>
        <v>Adobe</v>
      </c>
      <c r="H20" s="194" t="str">
        <f>'2. Roles &amp; Pricing'!F52</f>
        <v>Adobe UI</v>
      </c>
      <c r="I20" s="210" t="str">
        <f>'2. Roles &amp; Pricing'!F52</f>
        <v>Adobe UI</v>
      </c>
      <c r="J20" s="210" t="str">
        <f>'2. Roles &amp; Pricing'!K52</f>
        <v>Technical Lead</v>
      </c>
      <c r="K20" s="197" t="str">
        <f>'2. Roles &amp; Pricing'!W52</f>
        <v>Onshore</v>
      </c>
      <c r="L20" s="209"/>
      <c r="M20" s="210"/>
      <c r="N20" s="707">
        <f>IFERROR('2. Roles &amp; Pricing'!F174/40,"")</f>
        <v>1</v>
      </c>
      <c r="O20" s="707">
        <f>IFERROR('2. Roles &amp; Pricing'!I174/40,"")</f>
        <v>1</v>
      </c>
      <c r="P20" s="707">
        <f>IFERROR('2. Roles &amp; Pricing'!K174/40,"")</f>
        <v>1</v>
      </c>
      <c r="Q20" s="707">
        <f>IFERROR('2. Roles &amp; Pricing'!L174/40,"")</f>
        <v>1</v>
      </c>
      <c r="R20" s="707">
        <f>IFERROR('2. Roles &amp; Pricing'!M174/40,"")</f>
        <v>1</v>
      </c>
      <c r="S20" s="707">
        <f>IFERROR('2. Roles &amp; Pricing'!N174/40,"")</f>
        <v>1</v>
      </c>
      <c r="T20" s="707">
        <f>IFERROR('2. Roles &amp; Pricing'!O174/40,"")</f>
        <v>1</v>
      </c>
      <c r="U20" s="709">
        <f>IFERROR('2. Roles &amp; Pricing'!P174/40,"")</f>
        <v>1</v>
      </c>
      <c r="V20" s="709">
        <f>IFERROR('2. Roles &amp; Pricing'!Q174/40,"")</f>
        <v>1</v>
      </c>
      <c r="W20" s="709">
        <f>IFERROR('2. Roles &amp; Pricing'!R174/40,"")</f>
        <v>1</v>
      </c>
      <c r="X20" s="708">
        <f>IFERROR('2. Roles &amp; Pricing'!S174/40,"")</f>
        <v>1</v>
      </c>
      <c r="Y20" s="708">
        <f>IFERROR('2. Roles &amp; Pricing'!T174/40,"")</f>
        <v>1</v>
      </c>
      <c r="Z20" s="708">
        <f>IFERROR('2. Roles &amp; Pricing'!U174/40,"")</f>
        <v>1</v>
      </c>
      <c r="AA20" s="708">
        <f>IFERROR('2. Roles &amp; Pricing'!Y174/40,"")</f>
        <v>1</v>
      </c>
      <c r="AB20" s="708">
        <f>IFERROR('2. Roles &amp; Pricing'!Z174/40,"")</f>
        <v>1</v>
      </c>
      <c r="AC20" s="708">
        <f>IFERROR('2. Roles &amp; Pricing'!AA174/40,"")</f>
        <v>1</v>
      </c>
      <c r="AD20" s="708">
        <f>IFERROR('2. Roles &amp; Pricing'!AB174/40,"")</f>
        <v>1</v>
      </c>
      <c r="AE20" s="708">
        <f>IFERROR('2. Roles &amp; Pricing'!AG174/40,"")</f>
        <v>1</v>
      </c>
      <c r="AF20" s="708">
        <f>IFERROR('2. Roles &amp; Pricing'!AH174/40,"")</f>
        <v>1</v>
      </c>
      <c r="AG20" s="708">
        <f>IFERROR('2. Roles &amp; Pricing'!AI174/40,"")</f>
        <v>1</v>
      </c>
      <c r="AH20" s="708">
        <f>IFERROR('2. Roles &amp; Pricing'!AJ174/40,"")</f>
        <v>1</v>
      </c>
      <c r="AI20" s="708">
        <f>IFERROR('2. Roles &amp; Pricing'!AK174/40,"")</f>
        <v>1</v>
      </c>
      <c r="AJ20" s="708">
        <f>IFERROR('2. Roles &amp; Pricing'!AL174/40,"")</f>
        <v>1</v>
      </c>
      <c r="AK20" s="708">
        <f>IFERROR('2. Roles &amp; Pricing'!AM174/40,"")</f>
        <v>1</v>
      </c>
      <c r="AL20" s="708">
        <f>IFERROR('2. Roles &amp; Pricing'!AN174/40,"")</f>
        <v>1</v>
      </c>
      <c r="AM20" s="708">
        <f>IFERROR('2. Roles &amp; Pricing'!AO174/40,"")</f>
        <v>1</v>
      </c>
      <c r="AN20" s="708">
        <f>IFERROR('2. Roles &amp; Pricing'!AP174/40,"")</f>
        <v>1</v>
      </c>
      <c r="AO20" s="708">
        <f>IFERROR('2. Roles &amp; Pricing'!AQ174/40,"")</f>
        <v>1</v>
      </c>
      <c r="AP20" s="708">
        <f>IFERROR('2. Roles &amp; Pricing'!AR174/40,"")</f>
        <v>1</v>
      </c>
      <c r="AQ20" s="708">
        <f>IFERROR('2. Roles &amp; Pricing'!AS174/40,"")</f>
        <v>1</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30</v>
      </c>
      <c r="BO20" s="213">
        <f t="shared" si="50"/>
        <v>150</v>
      </c>
      <c r="BP20" s="199">
        <f>'2. Roles &amp; Pricing'!D295</f>
        <v>222000</v>
      </c>
      <c r="BQ20" s="199">
        <f>'2. Roles &amp; Pricing'!F295</f>
        <v>108000</v>
      </c>
      <c r="BR20" s="623">
        <f>'2. Roles &amp; Pricing'!F295</f>
        <v>108000</v>
      </c>
      <c r="BS20" s="200">
        <f>'2. Roles &amp; Pricing'!I295</f>
        <v>185</v>
      </c>
      <c r="BT20" s="201">
        <f t="shared" si="51"/>
        <v>222000</v>
      </c>
      <c r="BU20" s="214">
        <f t="shared" si="48"/>
        <v>1200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28.2" thickBot="1" x14ac:dyDescent="0.35">
      <c r="A21" s="205">
        <v>6</v>
      </c>
      <c r="B21" s="206">
        <v>3</v>
      </c>
      <c r="C21" s="207" t="str">
        <f t="shared" si="46"/>
        <v>MACH__MACH DevOps</v>
      </c>
      <c r="D21" s="207" t="str">
        <f t="shared" si="47"/>
        <v>MACH__MACH DevOps__MACH DevOps</v>
      </c>
      <c r="E21" s="207">
        <v>21</v>
      </c>
      <c r="F21" s="207">
        <v>8</v>
      </c>
      <c r="G21" s="208" t="str">
        <f>'2. Roles &amp; Pricing'!D53</f>
        <v>MACH</v>
      </c>
      <c r="H21" s="194" t="str">
        <f>'2. Roles &amp; Pricing'!F53</f>
        <v>MACH DevOps</v>
      </c>
      <c r="I21" s="210" t="str">
        <f>'2. Roles &amp; Pricing'!F53</f>
        <v>MACH DevOps</v>
      </c>
      <c r="J21" s="210" t="str">
        <f>'2. Roles &amp; Pricing'!K53</f>
        <v>Associate DevOps Engineer</v>
      </c>
      <c r="K21" s="197" t="str">
        <f>'2. Roles &amp; Pricing'!W53</f>
        <v>Offshore</v>
      </c>
      <c r="L21" s="209"/>
      <c r="M21" s="210"/>
      <c r="N21" s="707">
        <f>IFERROR('2. Roles &amp; Pricing'!F175/40,"")</f>
        <v>0.8</v>
      </c>
      <c r="O21" s="707">
        <f>IFERROR('2. Roles &amp; Pricing'!I175/40,"")</f>
        <v>0.8</v>
      </c>
      <c r="P21" s="707">
        <f>IFERROR('2. Roles &amp; Pricing'!K175/40,"")</f>
        <v>0.8</v>
      </c>
      <c r="Q21" s="707">
        <f>IFERROR('2. Roles &amp; Pricing'!L175/40,"")</f>
        <v>0.8</v>
      </c>
      <c r="R21" s="707">
        <f>IFERROR('2. Roles &amp; Pricing'!M175/40,"")</f>
        <v>0.8</v>
      </c>
      <c r="S21" s="707">
        <f>IFERROR('2. Roles &amp; Pricing'!N175/40,"")</f>
        <v>0.8</v>
      </c>
      <c r="T21" s="707">
        <f>IFERROR('2. Roles &amp; Pricing'!O175/40,"")</f>
        <v>0.8</v>
      </c>
      <c r="U21" s="709">
        <f>IFERROR('2. Roles &amp; Pricing'!P175/40,"")</f>
        <v>0.8</v>
      </c>
      <c r="V21" s="709">
        <f>IFERROR('2. Roles &amp; Pricing'!Q175/40,"")</f>
        <v>0.8</v>
      </c>
      <c r="W21" s="709">
        <f>IFERROR('2. Roles &amp; Pricing'!R175/40,"")</f>
        <v>0.8</v>
      </c>
      <c r="X21" s="708">
        <f>IFERROR('2. Roles &amp; Pricing'!S175/40,"")</f>
        <v>0.8</v>
      </c>
      <c r="Y21" s="708">
        <f>IFERROR('2. Roles &amp; Pricing'!T175/40,"")</f>
        <v>0.8</v>
      </c>
      <c r="Z21" s="708">
        <f>IFERROR('2. Roles &amp; Pricing'!U175/40,"")</f>
        <v>0.8</v>
      </c>
      <c r="AA21" s="708">
        <f>IFERROR('2. Roles &amp; Pricing'!Y175/40,"")</f>
        <v>0.8</v>
      </c>
      <c r="AB21" s="708">
        <f>IFERROR('2. Roles &amp; Pricing'!Z175/40,"")</f>
        <v>0.8</v>
      </c>
      <c r="AC21" s="708">
        <f>IFERROR('2. Roles &amp; Pricing'!AA175/40,"")</f>
        <v>0.8</v>
      </c>
      <c r="AD21" s="708">
        <f>IFERROR('2. Roles &amp; Pricing'!AB175/40,"")</f>
        <v>0.8</v>
      </c>
      <c r="AE21" s="708">
        <f>IFERROR('2. Roles &amp; Pricing'!AG175/40,"")</f>
        <v>0.8</v>
      </c>
      <c r="AF21" s="708">
        <f>IFERROR('2. Roles &amp; Pricing'!AH175/40,"")</f>
        <v>0.8</v>
      </c>
      <c r="AG21" s="708">
        <f>IFERROR('2. Roles &amp; Pricing'!AI175/40,"")</f>
        <v>0.8</v>
      </c>
      <c r="AH21" s="708">
        <f>IFERROR('2. Roles &amp; Pricing'!AJ175/40,"")</f>
        <v>0.8</v>
      </c>
      <c r="AI21" s="708">
        <f>IFERROR('2. Roles &amp; Pricing'!AK175/40,"")</f>
        <v>0.8</v>
      </c>
      <c r="AJ21" s="708">
        <f>IFERROR('2. Roles &amp; Pricing'!AL175/40,"")</f>
        <v>0.8</v>
      </c>
      <c r="AK21" s="708">
        <f>IFERROR('2. Roles &amp; Pricing'!AM175/40,"")</f>
        <v>0.8</v>
      </c>
      <c r="AL21" s="708">
        <f>IFERROR('2. Roles &amp; Pricing'!AN175/40,"")</f>
        <v>0.8</v>
      </c>
      <c r="AM21" s="708">
        <f>IFERROR('2. Roles &amp; Pricing'!AO175/40,"")</f>
        <v>0.8</v>
      </c>
      <c r="AN21" s="708">
        <f>IFERROR('2. Roles &amp; Pricing'!AP175/40,"")</f>
        <v>0.8</v>
      </c>
      <c r="AO21" s="708">
        <f>IFERROR('2. Roles &amp; Pricing'!AQ175/40,"")</f>
        <v>0.8</v>
      </c>
      <c r="AP21" s="708">
        <f>IFERROR('2. Roles &amp; Pricing'!AR175/40,"")</f>
        <v>0.8</v>
      </c>
      <c r="AQ21" s="708">
        <f>IFERROR('2. Roles &amp; Pricing'!AS175/40,"")</f>
        <v>0.8</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24.000000000000011</v>
      </c>
      <c r="BO21" s="213">
        <f t="shared" si="50"/>
        <v>120.00000000000006</v>
      </c>
      <c r="BP21" s="199">
        <f>'2. Roles &amp; Pricing'!D296</f>
        <v>33600</v>
      </c>
      <c r="BQ21" s="199">
        <f>'2. Roles &amp; Pricing'!F296</f>
        <v>12480</v>
      </c>
      <c r="BR21" s="623">
        <f>'2. Roles &amp; Pricing'!F296</f>
        <v>12480</v>
      </c>
      <c r="BS21" s="200">
        <f>'2. Roles &amp; Pricing'!I296</f>
        <v>35</v>
      </c>
      <c r="BT21" s="201">
        <f t="shared" si="51"/>
        <v>33600</v>
      </c>
      <c r="BU21" s="214">
        <f t="shared" si="48"/>
        <v>960.00000000000045</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21" thickBot="1" x14ac:dyDescent="0.35">
      <c r="A22" s="205">
        <v>7</v>
      </c>
      <c r="B22" s="206">
        <v>3</v>
      </c>
      <c r="C22" s="207" t="str">
        <f t="shared" si="46"/>
        <v>Adobe__Adobe UI</v>
      </c>
      <c r="D22" s="207" t="str">
        <f t="shared" si="47"/>
        <v>Adobe__Adobe UI__Adobe UI</v>
      </c>
      <c r="E22" s="207">
        <v>21</v>
      </c>
      <c r="F22" s="207">
        <v>8</v>
      </c>
      <c r="G22" s="208" t="str">
        <f>'2. Roles &amp; Pricing'!D54</f>
        <v>Adobe</v>
      </c>
      <c r="H22" s="194" t="str">
        <f>'2. Roles &amp; Pricing'!F54</f>
        <v>Adobe UI</v>
      </c>
      <c r="I22" s="210" t="str">
        <f>'2. Roles &amp; Pricing'!F54</f>
        <v>Adobe UI</v>
      </c>
      <c r="J22" s="210" t="str">
        <f>'2. Roles &amp; Pricing'!K54</f>
        <v>Sr. Developer</v>
      </c>
      <c r="K22" s="197" t="str">
        <f>'2. Roles &amp; Pricing'!W54</f>
        <v>Offshore</v>
      </c>
      <c r="L22" s="209"/>
      <c r="M22" s="210"/>
      <c r="N22" s="707">
        <f>IFERROR('2. Roles &amp; Pricing'!F176/40,"")</f>
        <v>1</v>
      </c>
      <c r="O22" s="707">
        <f>IFERROR('2. Roles &amp; Pricing'!I176/40,"")</f>
        <v>1</v>
      </c>
      <c r="P22" s="707">
        <f>IFERROR('2. Roles &amp; Pricing'!K176/40,"")</f>
        <v>1</v>
      </c>
      <c r="Q22" s="707">
        <f>IFERROR('2. Roles &amp; Pricing'!L176/40,"")</f>
        <v>1</v>
      </c>
      <c r="R22" s="707">
        <f>IFERROR('2. Roles &amp; Pricing'!M176/40,"")</f>
        <v>1</v>
      </c>
      <c r="S22" s="707">
        <f>IFERROR('2. Roles &amp; Pricing'!N176/40,"")</f>
        <v>1</v>
      </c>
      <c r="T22" s="707">
        <f>IFERROR('2. Roles &amp; Pricing'!O176/40,"")</f>
        <v>1</v>
      </c>
      <c r="U22" s="709">
        <f>IFERROR('2. Roles &amp; Pricing'!P176/40,"")</f>
        <v>1</v>
      </c>
      <c r="V22" s="709">
        <f>IFERROR('2. Roles &amp; Pricing'!Q176/40,"")</f>
        <v>1</v>
      </c>
      <c r="W22" s="709">
        <f>IFERROR('2. Roles &amp; Pricing'!R176/40,"")</f>
        <v>1</v>
      </c>
      <c r="X22" s="708">
        <f>IFERROR('2. Roles &amp; Pricing'!S176/40,"")</f>
        <v>1</v>
      </c>
      <c r="Y22" s="708">
        <f>IFERROR('2. Roles &amp; Pricing'!T176/40,"")</f>
        <v>1</v>
      </c>
      <c r="Z22" s="708">
        <f>IFERROR('2. Roles &amp; Pricing'!U176/40,"")</f>
        <v>1</v>
      </c>
      <c r="AA22" s="708">
        <f>IFERROR('2. Roles &amp; Pricing'!Y176/40,"")</f>
        <v>1</v>
      </c>
      <c r="AB22" s="708">
        <f>IFERROR('2. Roles &amp; Pricing'!Z176/40,"")</f>
        <v>1</v>
      </c>
      <c r="AC22" s="708">
        <f>IFERROR('2. Roles &amp; Pricing'!AA176/40,"")</f>
        <v>1</v>
      </c>
      <c r="AD22" s="708">
        <f>IFERROR('2. Roles &amp; Pricing'!AB176/40,"")</f>
        <v>1</v>
      </c>
      <c r="AE22" s="708">
        <f>IFERROR('2. Roles &amp; Pricing'!AG176/40,"")</f>
        <v>1</v>
      </c>
      <c r="AF22" s="708">
        <f>IFERROR('2. Roles &amp; Pricing'!AH176/40,"")</f>
        <v>1</v>
      </c>
      <c r="AG22" s="708">
        <f>IFERROR('2. Roles &amp; Pricing'!AI176/40,"")</f>
        <v>1</v>
      </c>
      <c r="AH22" s="708">
        <f>IFERROR('2. Roles &amp; Pricing'!AJ176/40,"")</f>
        <v>1</v>
      </c>
      <c r="AI22" s="708">
        <f>IFERROR('2. Roles &amp; Pricing'!AK176/40,"")</f>
        <v>1</v>
      </c>
      <c r="AJ22" s="708">
        <f>IFERROR('2. Roles &amp; Pricing'!AL176/40,"")</f>
        <v>1</v>
      </c>
      <c r="AK22" s="708">
        <f>IFERROR('2. Roles &amp; Pricing'!AM176/40,"")</f>
        <v>1</v>
      </c>
      <c r="AL22" s="708">
        <f>IFERROR('2. Roles &amp; Pricing'!AN176/40,"")</f>
        <v>1</v>
      </c>
      <c r="AM22" s="708">
        <f>IFERROR('2. Roles &amp; Pricing'!AO176/40,"")</f>
        <v>1</v>
      </c>
      <c r="AN22" s="708">
        <f>IFERROR('2. Roles &amp; Pricing'!AP176/40,"")</f>
        <v>1</v>
      </c>
      <c r="AO22" s="708">
        <f>IFERROR('2. Roles &amp; Pricing'!AQ176/40,"")</f>
        <v>1</v>
      </c>
      <c r="AP22" s="708">
        <f>IFERROR('2. Roles &amp; Pricing'!AR176/40,"")</f>
        <v>1</v>
      </c>
      <c r="AQ22" s="708">
        <f>IFERROR('2. Roles &amp; Pricing'!AS176/40,"")</f>
        <v>1</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30</v>
      </c>
      <c r="BO22" s="213">
        <f t="shared" si="50"/>
        <v>150</v>
      </c>
      <c r="BP22" s="199">
        <f>'2. Roles &amp; Pricing'!D297</f>
        <v>78000</v>
      </c>
      <c r="BQ22" s="199">
        <f>'2. Roles &amp; Pricing'!F297</f>
        <v>27000</v>
      </c>
      <c r="BR22" s="623">
        <f>'2. Roles &amp; Pricing'!F297</f>
        <v>27000</v>
      </c>
      <c r="BS22" s="200">
        <f>'2. Roles &amp; Pricing'!I297</f>
        <v>65</v>
      </c>
      <c r="BT22" s="201">
        <f t="shared" si="51"/>
        <v>78000</v>
      </c>
      <c r="BU22" s="214">
        <f t="shared" si="48"/>
        <v>1200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21" thickBot="1" x14ac:dyDescent="0.35">
      <c r="A23" s="205">
        <v>8</v>
      </c>
      <c r="B23" s="206">
        <v>3</v>
      </c>
      <c r="C23" s="207" t="str">
        <f t="shared" si="46"/>
        <v>Delivery__Delivery</v>
      </c>
      <c r="D23" s="207" t="str">
        <f t="shared" si="47"/>
        <v>Delivery__Delivery__Delivery</v>
      </c>
      <c r="E23" s="207">
        <v>20</v>
      </c>
      <c r="F23" s="207">
        <v>10</v>
      </c>
      <c r="G23" s="208" t="str">
        <f>'2. Roles &amp; Pricing'!D55</f>
        <v>Delivery</v>
      </c>
      <c r="H23" s="194" t="str">
        <f>'2. Roles &amp; Pricing'!F55</f>
        <v>Delivery</v>
      </c>
      <c r="I23" s="210" t="str">
        <f>'2. Roles &amp; Pricing'!F55</f>
        <v>Delivery</v>
      </c>
      <c r="J23" s="210" t="str">
        <f>'2. Roles &amp; Pricing'!K55</f>
        <v>Delivery Manager</v>
      </c>
      <c r="K23" s="197" t="str">
        <f>'2. Roles &amp; Pricing'!W55</f>
        <v>Offshore</v>
      </c>
      <c r="L23" s="209"/>
      <c r="M23" s="210"/>
      <c r="N23" s="707">
        <f>IFERROR('2. Roles &amp; Pricing'!F177/40,"")</f>
        <v>0.5</v>
      </c>
      <c r="O23" s="707">
        <f>IFERROR('2. Roles &amp; Pricing'!I177/40,"")</f>
        <v>0.5</v>
      </c>
      <c r="P23" s="707">
        <f>IFERROR('2. Roles &amp; Pricing'!K177/40,"")</f>
        <v>0.5</v>
      </c>
      <c r="Q23" s="707">
        <f>IFERROR('2. Roles &amp; Pricing'!L177/40,"")</f>
        <v>0.5</v>
      </c>
      <c r="R23" s="707">
        <f>IFERROR('2. Roles &amp; Pricing'!M177/40,"")</f>
        <v>0.5</v>
      </c>
      <c r="S23" s="707">
        <f>IFERROR('2. Roles &amp; Pricing'!N177/40,"")</f>
        <v>0.5</v>
      </c>
      <c r="T23" s="707">
        <f>IFERROR('2. Roles &amp; Pricing'!O177/40,"")</f>
        <v>0.5</v>
      </c>
      <c r="U23" s="709">
        <f>IFERROR('2. Roles &amp; Pricing'!P177/40,"")</f>
        <v>0.5</v>
      </c>
      <c r="V23" s="709">
        <f>IFERROR('2. Roles &amp; Pricing'!Q177/40,"")</f>
        <v>0.5</v>
      </c>
      <c r="W23" s="709">
        <f>IFERROR('2. Roles &amp; Pricing'!R177/40,"")</f>
        <v>0.5</v>
      </c>
      <c r="X23" s="708">
        <f>IFERROR('2. Roles &amp; Pricing'!S177/40,"")</f>
        <v>0.5</v>
      </c>
      <c r="Y23" s="708">
        <f>IFERROR('2. Roles &amp; Pricing'!T177/40,"")</f>
        <v>0.5</v>
      </c>
      <c r="Z23" s="708">
        <f>IFERROR('2. Roles &amp; Pricing'!U177/40,"")</f>
        <v>0.5</v>
      </c>
      <c r="AA23" s="708">
        <f>IFERROR('2. Roles &amp; Pricing'!Y177/40,"")</f>
        <v>0.5</v>
      </c>
      <c r="AB23" s="708">
        <f>IFERROR('2. Roles &amp; Pricing'!Z177/40,"")</f>
        <v>0.5</v>
      </c>
      <c r="AC23" s="708">
        <f>IFERROR('2. Roles &amp; Pricing'!AA177/40,"")</f>
        <v>0.5</v>
      </c>
      <c r="AD23" s="708">
        <f>IFERROR('2. Roles &amp; Pricing'!AB177/40,"")</f>
        <v>0.5</v>
      </c>
      <c r="AE23" s="708">
        <f>IFERROR('2. Roles &amp; Pricing'!AG177/40,"")</f>
        <v>0.5</v>
      </c>
      <c r="AF23" s="708">
        <f>IFERROR('2. Roles &amp; Pricing'!AH177/40,"")</f>
        <v>0.5</v>
      </c>
      <c r="AG23" s="708">
        <f>IFERROR('2. Roles &amp; Pricing'!AI177/40,"")</f>
        <v>0.5</v>
      </c>
      <c r="AH23" s="708">
        <f>IFERROR('2. Roles &amp; Pricing'!AJ177/40,"")</f>
        <v>0.5</v>
      </c>
      <c r="AI23" s="708">
        <f>IFERROR('2. Roles &amp; Pricing'!AK177/40,"")</f>
        <v>0.5</v>
      </c>
      <c r="AJ23" s="708">
        <f>IFERROR('2. Roles &amp; Pricing'!AL177/40,"")</f>
        <v>0.5</v>
      </c>
      <c r="AK23" s="708">
        <f>IFERROR('2. Roles &amp; Pricing'!AM177/40,"")</f>
        <v>0.5</v>
      </c>
      <c r="AL23" s="708">
        <f>IFERROR('2. Roles &amp; Pricing'!AN177/40,"")</f>
        <v>0.5</v>
      </c>
      <c r="AM23" s="708">
        <f>IFERROR('2. Roles &amp; Pricing'!AO177/40,"")</f>
        <v>0.5</v>
      </c>
      <c r="AN23" s="708">
        <f>IFERROR('2. Roles &amp; Pricing'!AP177/40,"")</f>
        <v>0.5</v>
      </c>
      <c r="AO23" s="708">
        <f>IFERROR('2. Roles &amp; Pricing'!AQ177/40,"")</f>
        <v>0.5</v>
      </c>
      <c r="AP23" s="708">
        <f>IFERROR('2. Roles &amp; Pricing'!AR177/40,"")</f>
        <v>0.5</v>
      </c>
      <c r="AQ23" s="708">
        <f>IFERROR('2. Roles &amp; Pricing'!AS177/40,"")</f>
        <v>0.5</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15</v>
      </c>
      <c r="BO23" s="213">
        <f t="shared" si="50"/>
        <v>75</v>
      </c>
      <c r="BP23" s="199">
        <f>'2. Roles &amp; Pricing'!D298</f>
        <v>54000</v>
      </c>
      <c r="BQ23" s="199">
        <f>'2. Roles &amp; Pricing'!F298</f>
        <v>24000</v>
      </c>
      <c r="BR23" s="623">
        <f>'2. Roles &amp; Pricing'!F298</f>
        <v>24000</v>
      </c>
      <c r="BS23" s="200">
        <f>'2. Roles &amp; Pricing'!I298</f>
        <v>90</v>
      </c>
      <c r="BT23" s="201">
        <f t="shared" si="51"/>
        <v>54000</v>
      </c>
      <c r="BU23" s="214">
        <f t="shared" si="48"/>
        <v>600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4" thickBot="1" x14ac:dyDescent="0.35">
      <c r="A24" s="205">
        <v>9</v>
      </c>
      <c r="B24" s="206">
        <v>3</v>
      </c>
      <c r="C24" s="207" t="str">
        <f t="shared" si="46"/>
        <v>0__0</v>
      </c>
      <c r="D24" s="207" t="str">
        <f t="shared" si="47"/>
        <v>0__0__0</v>
      </c>
      <c r="E24" s="207">
        <v>21</v>
      </c>
      <c r="F24" s="207">
        <v>8</v>
      </c>
      <c r="G24" s="208">
        <f>'2. Roles &amp; Pricing'!D56</f>
        <v>0</v>
      </c>
      <c r="H24" s="194">
        <f>'2. Roles &amp; Pricing'!F56</f>
        <v>0</v>
      </c>
      <c r="I24" s="210">
        <f>'2. Roles &amp; Pricing'!F56</f>
        <v>0</v>
      </c>
      <c r="J24" s="210">
        <f>'2. Roles &amp; Pricing'!K56</f>
        <v>0</v>
      </c>
      <c r="K24" s="197" t="str">
        <f>'2. Roles &amp; Pricing'!W56</f>
        <v xml:space="preserve"> </v>
      </c>
      <c r="L24" s="209"/>
      <c r="M24" s="210"/>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12">
        <f t="shared" si="49"/>
        <v>0</v>
      </c>
      <c r="BO24" s="213">
        <f t="shared" si="50"/>
        <v>0</v>
      </c>
      <c r="BP24" s="199" t="str">
        <f>'2. Roles &amp; Pricing'!D299</f>
        <v/>
      </c>
      <c r="BQ24" s="199">
        <f>'2. Roles &amp; Pricing'!F299</f>
        <v>0</v>
      </c>
      <c r="BR24" s="623">
        <f>'2. Roles &amp; Pricing'!F299</f>
        <v>0</v>
      </c>
      <c r="BS24" s="200">
        <f>'2. Roles &amp; Pricing'!I299</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4" thickBot="1" x14ac:dyDescent="0.35">
      <c r="A25" s="205">
        <v>10</v>
      </c>
      <c r="B25" s="206">
        <v>3</v>
      </c>
      <c r="C25" s="207" t="str">
        <f t="shared" si="46"/>
        <v>0__0</v>
      </c>
      <c r="D25" s="207" t="str">
        <f t="shared" si="47"/>
        <v>0__0__0</v>
      </c>
      <c r="E25" s="207">
        <v>20</v>
      </c>
      <c r="F25" s="207">
        <v>10</v>
      </c>
      <c r="G25" s="208">
        <f>'2. Roles &amp; Pricing'!D57</f>
        <v>0</v>
      </c>
      <c r="H25" s="194">
        <f>'2. Roles &amp; Pricing'!F57</f>
        <v>0</v>
      </c>
      <c r="I25" s="210">
        <f>'2. Roles &amp; Pricing'!F57</f>
        <v>0</v>
      </c>
      <c r="J25" s="210">
        <f>'2. Roles &amp; Pricing'!K57</f>
        <v>0</v>
      </c>
      <c r="K25" s="197" t="str">
        <f>'2. Roles &amp; Pricing'!W57</f>
        <v xml:space="preserve"> </v>
      </c>
      <c r="L25" s="209"/>
      <c r="M25" s="210"/>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12">
        <f t="shared" si="49"/>
        <v>0</v>
      </c>
      <c r="BO25" s="213">
        <f t="shared" si="50"/>
        <v>0</v>
      </c>
      <c r="BP25" s="199" t="str">
        <f>'2. Roles &amp; Pricing'!D300</f>
        <v/>
      </c>
      <c r="BQ25" s="199">
        <f>'2. Roles &amp; Pricing'!F300</f>
        <v>0</v>
      </c>
      <c r="BR25" s="623">
        <f>'2. Roles &amp; Pricing'!F300</f>
        <v>0</v>
      </c>
      <c r="BS25" s="200">
        <f>'2. Roles &amp; Pricing'!I300</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4" thickBot="1" x14ac:dyDescent="0.35">
      <c r="A26" s="205">
        <v>11</v>
      </c>
      <c r="B26" s="206">
        <v>3</v>
      </c>
      <c r="C26" s="207" t="str">
        <f t="shared" si="46"/>
        <v>0__0</v>
      </c>
      <c r="D26" s="207" t="str">
        <f t="shared" si="47"/>
        <v>0__0__0</v>
      </c>
      <c r="E26" s="207">
        <v>20</v>
      </c>
      <c r="F26" s="207">
        <v>10</v>
      </c>
      <c r="G26" s="208">
        <f>'2. Roles &amp; Pricing'!D58</f>
        <v>0</v>
      </c>
      <c r="H26" s="194">
        <f>'2. Roles &amp; Pricing'!F58</f>
        <v>0</v>
      </c>
      <c r="I26" s="210">
        <f>'2. Roles &amp; Pricing'!F58</f>
        <v>0</v>
      </c>
      <c r="J26" s="210">
        <f>'2. Roles &amp; Pricing'!K58</f>
        <v>0</v>
      </c>
      <c r="K26" s="197" t="str">
        <f>'2. Roles &amp; Pricing'!W58</f>
        <v xml:space="preserve"> </v>
      </c>
      <c r="L26" s="209"/>
      <c r="M26" s="210"/>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12">
        <f t="shared" si="49"/>
        <v>0</v>
      </c>
      <c r="BO26" s="213">
        <f t="shared" si="50"/>
        <v>0</v>
      </c>
      <c r="BP26" s="199" t="str">
        <f>'2. Roles &amp; Pricing'!D301</f>
        <v/>
      </c>
      <c r="BQ26" s="199">
        <f>'2. Roles &amp; Pricing'!F301</f>
        <v>0</v>
      </c>
      <c r="BR26" s="623">
        <f>'2. Roles &amp; Pricing'!F301</f>
        <v>0</v>
      </c>
      <c r="BS26" s="200">
        <f>'2. Roles &amp; Pricing'!I301</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4" thickBot="1" x14ac:dyDescent="0.35">
      <c r="A27" s="205">
        <v>12</v>
      </c>
      <c r="B27" s="206">
        <v>3</v>
      </c>
      <c r="C27" s="207" t="str">
        <f t="shared" si="46"/>
        <v>0__0</v>
      </c>
      <c r="D27" s="207" t="str">
        <f t="shared" si="47"/>
        <v>0__0__0</v>
      </c>
      <c r="E27" s="207">
        <v>20</v>
      </c>
      <c r="F27" s="207">
        <v>10</v>
      </c>
      <c r="G27" s="208">
        <f>'2. Roles &amp; Pricing'!D59</f>
        <v>0</v>
      </c>
      <c r="H27" s="194">
        <f>'2. Roles &amp; Pricing'!F59</f>
        <v>0</v>
      </c>
      <c r="I27" s="210">
        <f>'2. Roles &amp; Pricing'!F59</f>
        <v>0</v>
      </c>
      <c r="J27" s="210">
        <f>'2. Roles &amp; Pricing'!K59</f>
        <v>0</v>
      </c>
      <c r="K27" s="197" t="str">
        <f>'2. Roles &amp; Pricing'!W59</f>
        <v xml:space="preserve"> </v>
      </c>
      <c r="L27" s="209"/>
      <c r="M27" s="210"/>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12">
        <f t="shared" si="49"/>
        <v>0</v>
      </c>
      <c r="BO27" s="213">
        <f t="shared" si="50"/>
        <v>0</v>
      </c>
      <c r="BP27" s="199" t="str">
        <f>'2. Roles &amp; Pricing'!D302</f>
        <v/>
      </c>
      <c r="BQ27" s="199">
        <f>'2. Roles &amp; Pricing'!F302</f>
        <v>0</v>
      </c>
      <c r="BR27" s="623">
        <f>'2. Roles &amp; Pricing'!F302</f>
        <v>0</v>
      </c>
      <c r="BS27" s="200">
        <f>'2. Roles &amp; Pricing'!I302</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4" thickBot="1" x14ac:dyDescent="0.35">
      <c r="A28" s="205">
        <v>13</v>
      </c>
      <c r="B28" s="206">
        <v>3</v>
      </c>
      <c r="C28" s="207" t="str">
        <f t="shared" si="46"/>
        <v>0__0</v>
      </c>
      <c r="D28" s="207" t="str">
        <f t="shared" si="47"/>
        <v>0__0__0</v>
      </c>
      <c r="E28" s="207">
        <v>20</v>
      </c>
      <c r="F28" s="207">
        <v>10</v>
      </c>
      <c r="G28" s="208">
        <f>'2. Roles &amp; Pricing'!D60</f>
        <v>0</v>
      </c>
      <c r="H28" s="194">
        <f>'2. Roles &amp; Pricing'!F60</f>
        <v>0</v>
      </c>
      <c r="I28" s="210">
        <f>'2. Roles &amp; Pricing'!F60</f>
        <v>0</v>
      </c>
      <c r="J28" s="210">
        <f>'2. Roles &amp; Pricing'!K60</f>
        <v>0</v>
      </c>
      <c r="K28" s="197" t="str">
        <f>'2. Roles &amp; Pricing'!W60</f>
        <v xml:space="preserve"> </v>
      </c>
      <c r="L28" s="209"/>
      <c r="M28" s="210"/>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12">
        <f t="shared" si="49"/>
        <v>0</v>
      </c>
      <c r="BO28" s="213">
        <f t="shared" si="50"/>
        <v>0</v>
      </c>
      <c r="BP28" s="199" t="str">
        <f>'2. Roles &amp; Pricing'!D303</f>
        <v/>
      </c>
      <c r="BQ28" s="199">
        <f>'2. Roles &amp; Pricing'!F303</f>
        <v>0</v>
      </c>
      <c r="BR28" s="623">
        <f>'2. Roles &amp; Pricing'!F303</f>
        <v>0</v>
      </c>
      <c r="BS28" s="200">
        <f>'2. Roles &amp; Pricing'!I303</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4" thickBot="1" x14ac:dyDescent="0.35">
      <c r="A29" s="205">
        <v>14</v>
      </c>
      <c r="B29" s="206">
        <v>3</v>
      </c>
      <c r="C29" s="207" t="str">
        <f t="shared" si="46"/>
        <v>0__0</v>
      </c>
      <c r="D29" s="207" t="str">
        <f t="shared" si="47"/>
        <v>0__0__0</v>
      </c>
      <c r="E29" s="207">
        <v>20</v>
      </c>
      <c r="F29" s="207">
        <v>10</v>
      </c>
      <c r="G29" s="208">
        <f>'2. Roles &amp; Pricing'!D61</f>
        <v>0</v>
      </c>
      <c r="H29" s="194">
        <f>'2. Roles &amp; Pricing'!F61</f>
        <v>0</v>
      </c>
      <c r="I29" s="210">
        <f>'2. Roles &amp; Pricing'!F61</f>
        <v>0</v>
      </c>
      <c r="J29" s="210">
        <f>'2. Roles &amp; Pricing'!K61</f>
        <v>0</v>
      </c>
      <c r="K29" s="197" t="str">
        <f>'2. Roles &amp; Pricing'!W61</f>
        <v xml:space="preserve"> </v>
      </c>
      <c r="L29" s="209"/>
      <c r="M29" s="210"/>
      <c r="N29" s="707" t="str">
        <f>IFERROR('2. Roles &amp; Pricing'!F183/40,"")</f>
        <v/>
      </c>
      <c r="O29" s="707" t="str">
        <f>IFERROR('2. Roles &amp; Pricing'!I183/40,"")</f>
        <v/>
      </c>
      <c r="P29" s="707" t="str">
        <f>IFERROR('2. Roles &amp; Pricing'!K183/40,"")</f>
        <v/>
      </c>
      <c r="Q29" s="707" t="str">
        <f>IFERROR('2. Roles &amp; Pricing'!L183/40,"")</f>
        <v/>
      </c>
      <c r="R29" s="707" t="str">
        <f>IFERROR('2. Roles &amp; Pricing'!M183/40,"")</f>
        <v/>
      </c>
      <c r="S29" s="707" t="str">
        <f>IFERROR('2. Roles &amp; Pricing'!N183/40,"")</f>
        <v/>
      </c>
      <c r="T29" s="707" t="str">
        <f>IFERROR('2. Roles &amp; Pricing'!O183/40,"")</f>
        <v/>
      </c>
      <c r="U29" s="709" t="str">
        <f>IFERROR('2. Roles &amp; Pricing'!P183/40,"")</f>
        <v/>
      </c>
      <c r="V29" s="709" t="str">
        <f>IFERROR('2. Roles &amp; Pricing'!Q183/40,"")</f>
        <v/>
      </c>
      <c r="W29" s="709" t="str">
        <f>IFERROR('2. Roles &amp; Pricing'!R183/40,"")</f>
        <v/>
      </c>
      <c r="X29" s="708" t="str">
        <f>IFERROR('2. Roles &amp; Pricing'!S183/40,"")</f>
        <v/>
      </c>
      <c r="Y29" s="708" t="str">
        <f>IFERROR('2. Roles &amp; Pricing'!T183/40,"")</f>
        <v/>
      </c>
      <c r="Z29" s="708" t="str">
        <f>IFERROR('2. Roles &amp; Pricing'!U183/40,"")</f>
        <v/>
      </c>
      <c r="AA29" s="708" t="str">
        <f>IFERROR('2. Roles &amp; Pricing'!Y183/40,"")</f>
        <v/>
      </c>
      <c r="AB29" s="708" t="str">
        <f>IFERROR('2. Roles &amp; Pricing'!Z183/40,"")</f>
        <v/>
      </c>
      <c r="AC29" s="708" t="str">
        <f>IFERROR('2. Roles &amp; Pricing'!AA183/40,"")</f>
        <v/>
      </c>
      <c r="AD29" s="708" t="str">
        <f>IFERROR('2. Roles &amp; Pricing'!AB183/40,"")</f>
        <v/>
      </c>
      <c r="AE29" s="708" t="str">
        <f>IFERROR('2. Roles &amp; Pricing'!AG183/40,"")</f>
        <v/>
      </c>
      <c r="AF29" s="708" t="str">
        <f>IFERROR('2. Roles &amp; Pricing'!AH183/40,"")</f>
        <v/>
      </c>
      <c r="AG29" s="708" t="str">
        <f>IFERROR('2. Roles &amp; Pricing'!AI183/40,"")</f>
        <v/>
      </c>
      <c r="AH29" s="708" t="str">
        <f>IFERROR('2. Roles &amp; Pricing'!AJ183/40,"")</f>
        <v/>
      </c>
      <c r="AI29" s="708" t="str">
        <f>IFERROR('2. Roles &amp; Pricing'!AK183/40,"")</f>
        <v/>
      </c>
      <c r="AJ29" s="708" t="str">
        <f>IFERROR('2. Roles &amp; Pricing'!AL183/40,"")</f>
        <v/>
      </c>
      <c r="AK29" s="708" t="str">
        <f>IFERROR('2. Roles &amp; Pricing'!AM183/40,"")</f>
        <v/>
      </c>
      <c r="AL29" s="708" t="str">
        <f>IFERROR('2. Roles &amp; Pricing'!AN183/40,"")</f>
        <v/>
      </c>
      <c r="AM29" s="708" t="str">
        <f>IFERROR('2. Roles &amp; Pricing'!AO183/40,"")</f>
        <v/>
      </c>
      <c r="AN29" s="708" t="str">
        <f>IFERROR('2. Roles &amp; Pricing'!AP183/40,"")</f>
        <v/>
      </c>
      <c r="AO29" s="708" t="str">
        <f>IFERROR('2. Roles &amp; Pricing'!AQ183/40,"")</f>
        <v/>
      </c>
      <c r="AP29" s="708" t="str">
        <f>IFERROR('2. Roles &amp; Pricing'!AR183/40,"")</f>
        <v/>
      </c>
      <c r="AQ29" s="708" t="str">
        <f>IFERROR('2. Roles &amp; Pricing'!AS183/40,"")</f>
        <v/>
      </c>
      <c r="AR29" s="708" t="str">
        <f>IFERROR('2. Roles &amp; Pricing'!AT183/40,"")</f>
        <v/>
      </c>
      <c r="AS29" s="708" t="str">
        <f>IFERROR('2. Roles &amp; Pricing'!AU183/40,"")</f>
        <v/>
      </c>
      <c r="AT29" s="708" t="str">
        <f>IFERROR('2. Roles &amp; Pricing'!AV183/40,"")</f>
        <v/>
      </c>
      <c r="AU29" s="708" t="str">
        <f>IFERROR('2. Roles &amp; Pricing'!AW183/40,"")</f>
        <v/>
      </c>
      <c r="AV29" s="708" t="str">
        <f>IFERROR('2. Roles &amp; Pricing'!AX183/40,"")</f>
        <v/>
      </c>
      <c r="AW29" s="708" t="str">
        <f>IFERROR('2. Roles &amp; Pricing'!AY183/40,"")</f>
        <v/>
      </c>
      <c r="AX29" s="708" t="str">
        <f>IFERROR('2. Roles &amp; Pricing'!AZ183/40,"")</f>
        <v/>
      </c>
      <c r="AY29" s="708" t="str">
        <f>IFERROR('2. Roles &amp; Pricing'!BA183/40,"")</f>
        <v/>
      </c>
      <c r="AZ29" s="708" t="str">
        <f>IFERROR('2. Roles &amp; Pricing'!BB183/40,"")</f>
        <v/>
      </c>
      <c r="BA29" s="708" t="str">
        <f>IFERROR('2. Roles &amp; Pricing'!BC183/40,"")</f>
        <v/>
      </c>
      <c r="BB29" s="708" t="str">
        <f>IFERROR('2. Roles &amp; Pricing'!BD183/40,"")</f>
        <v/>
      </c>
      <c r="BC29" s="708" t="str">
        <f>IFERROR('2. Roles &amp; Pricing'!BE183/40,"")</f>
        <v/>
      </c>
      <c r="BD29" s="708" t="str">
        <f>IFERROR('2. Roles &amp; Pricing'!BF183/40,"")</f>
        <v/>
      </c>
      <c r="BE29" s="708" t="str">
        <f>IFERROR('2. Roles &amp; Pricing'!BG183/40,"")</f>
        <v/>
      </c>
      <c r="BF29" s="708" t="str">
        <f>IFERROR('2. Roles &amp; Pricing'!BH183/40,"")</f>
        <v/>
      </c>
      <c r="BG29" s="708" t="str">
        <f>IFERROR('2. Roles &amp; Pricing'!BI183/40,"")</f>
        <v/>
      </c>
      <c r="BH29" s="708" t="str">
        <f>IFERROR('2. Roles &amp; Pricing'!BJ183/40,"")</f>
        <v/>
      </c>
      <c r="BI29" s="708" t="str">
        <f>IFERROR('2. Roles &amp; Pricing'!BK183/40,"")</f>
        <v/>
      </c>
      <c r="BJ29" s="708" t="str">
        <f>IFERROR('2. Roles &amp; Pricing'!BL183/40,"")</f>
        <v/>
      </c>
      <c r="BK29" s="708" t="str">
        <f>IFERROR('2. Roles &amp; Pricing'!BM183/40,"")</f>
        <v/>
      </c>
      <c r="BL29" s="708" t="str">
        <f>IFERROR('2. Roles &amp; Pricing'!BN183/40,"")</f>
        <v/>
      </c>
      <c r="BM29" s="708" t="str">
        <f>IFERROR('2. Roles &amp; Pricing'!BO183/40,"")</f>
        <v/>
      </c>
      <c r="BN29" s="212">
        <f t="shared" si="49"/>
        <v>0</v>
      </c>
      <c r="BO29" s="213">
        <f t="shared" si="50"/>
        <v>0</v>
      </c>
      <c r="BP29" s="199" t="str">
        <f>'2. Roles &amp; Pricing'!D304</f>
        <v/>
      </c>
      <c r="BQ29" s="199">
        <f>'2. Roles &amp; Pricing'!F304</f>
        <v>0</v>
      </c>
      <c r="BR29" s="623">
        <f>'2. Roles &amp; Pricing'!F304</f>
        <v>0</v>
      </c>
      <c r="BS29" s="200">
        <f>'2. Roles &amp; Pricing'!I304</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4" thickBot="1" x14ac:dyDescent="0.35">
      <c r="A30" s="205">
        <v>15</v>
      </c>
      <c r="B30" s="206">
        <v>3</v>
      </c>
      <c r="C30" s="207" t="str">
        <f t="shared" si="46"/>
        <v>0__0</v>
      </c>
      <c r="D30" s="207" t="str">
        <f t="shared" si="47"/>
        <v>0__0__0</v>
      </c>
      <c r="E30" s="207">
        <v>20</v>
      </c>
      <c r="F30" s="207">
        <v>10</v>
      </c>
      <c r="G30" s="208">
        <f>'2. Roles &amp; Pricing'!D62</f>
        <v>0</v>
      </c>
      <c r="H30" s="194">
        <f>'2. Roles &amp; Pricing'!F62</f>
        <v>0</v>
      </c>
      <c r="I30" s="210">
        <f>'2. Roles &amp; Pricing'!F62</f>
        <v>0</v>
      </c>
      <c r="J30" s="210">
        <f>'2. Roles &amp; Pricing'!K62</f>
        <v>0</v>
      </c>
      <c r="K30" s="197" t="str">
        <f>'2. Roles &amp; Pricing'!W62</f>
        <v xml:space="preserve"> </v>
      </c>
      <c r="L30" s="209"/>
      <c r="M30" s="210"/>
      <c r="N30" s="707" t="str">
        <f>IFERROR('2. Roles &amp; Pricing'!F184/40,"")</f>
        <v/>
      </c>
      <c r="O30" s="707" t="str">
        <f>IFERROR('2. Roles &amp; Pricing'!I184/40,"")</f>
        <v/>
      </c>
      <c r="P30" s="707" t="str">
        <f>IFERROR('2. Roles &amp; Pricing'!K184/40,"")</f>
        <v/>
      </c>
      <c r="Q30" s="707" t="str">
        <f>IFERROR('2. Roles &amp; Pricing'!L184/40,"")</f>
        <v/>
      </c>
      <c r="R30" s="707" t="str">
        <f>IFERROR('2. Roles &amp; Pricing'!M184/40,"")</f>
        <v/>
      </c>
      <c r="S30" s="707" t="str">
        <f>IFERROR('2. Roles &amp; Pricing'!N184/40,"")</f>
        <v/>
      </c>
      <c r="T30" s="707" t="str">
        <f>IFERROR('2. Roles &amp; Pricing'!O184/40,"")</f>
        <v/>
      </c>
      <c r="U30" s="709" t="str">
        <f>IFERROR('2. Roles &amp; Pricing'!P184/40,"")</f>
        <v/>
      </c>
      <c r="V30" s="709" t="str">
        <f>IFERROR('2. Roles &amp; Pricing'!Q184/40,"")</f>
        <v/>
      </c>
      <c r="W30" s="709" t="str">
        <f>IFERROR('2. Roles &amp; Pricing'!R184/40,"")</f>
        <v/>
      </c>
      <c r="X30" s="708" t="str">
        <f>IFERROR('2. Roles &amp; Pricing'!S184/40,"")</f>
        <v/>
      </c>
      <c r="Y30" s="708" t="str">
        <f>IFERROR('2. Roles &amp; Pricing'!T184/40,"")</f>
        <v/>
      </c>
      <c r="Z30" s="708" t="str">
        <f>IFERROR('2. Roles &amp; Pricing'!U184/40,"")</f>
        <v/>
      </c>
      <c r="AA30" s="708" t="str">
        <f>IFERROR('2. Roles &amp; Pricing'!Y184/40,"")</f>
        <v/>
      </c>
      <c r="AB30" s="708" t="str">
        <f>IFERROR('2. Roles &amp; Pricing'!Z184/40,"")</f>
        <v/>
      </c>
      <c r="AC30" s="708" t="str">
        <f>IFERROR('2. Roles &amp; Pricing'!AA184/40,"")</f>
        <v/>
      </c>
      <c r="AD30" s="708" t="str">
        <f>IFERROR('2. Roles &amp; Pricing'!AB184/40,"")</f>
        <v/>
      </c>
      <c r="AE30" s="708" t="str">
        <f>IFERROR('2. Roles &amp; Pricing'!AG184/40,"")</f>
        <v/>
      </c>
      <c r="AF30" s="708" t="str">
        <f>IFERROR('2. Roles &amp; Pricing'!AH184/40,"")</f>
        <v/>
      </c>
      <c r="AG30" s="708" t="str">
        <f>IFERROR('2. Roles &amp; Pricing'!AI184/40,"")</f>
        <v/>
      </c>
      <c r="AH30" s="708" t="str">
        <f>IFERROR('2. Roles &amp; Pricing'!AJ184/40,"")</f>
        <v/>
      </c>
      <c r="AI30" s="708" t="str">
        <f>IFERROR('2. Roles &amp; Pricing'!AK184/40,"")</f>
        <v/>
      </c>
      <c r="AJ30" s="708" t="str">
        <f>IFERROR('2. Roles &amp; Pricing'!AL184/40,"")</f>
        <v/>
      </c>
      <c r="AK30" s="708" t="str">
        <f>IFERROR('2. Roles &amp; Pricing'!AM184/40,"")</f>
        <v/>
      </c>
      <c r="AL30" s="708" t="str">
        <f>IFERROR('2. Roles &amp; Pricing'!AN184/40,"")</f>
        <v/>
      </c>
      <c r="AM30" s="708" t="str">
        <f>IFERROR('2. Roles &amp; Pricing'!AO184/40,"")</f>
        <v/>
      </c>
      <c r="AN30" s="708" t="str">
        <f>IFERROR('2. Roles &amp; Pricing'!AP184/40,"")</f>
        <v/>
      </c>
      <c r="AO30" s="708" t="str">
        <f>IFERROR('2. Roles &amp; Pricing'!AQ184/40,"")</f>
        <v/>
      </c>
      <c r="AP30" s="708" t="str">
        <f>IFERROR('2. Roles &amp; Pricing'!AR184/40,"")</f>
        <v/>
      </c>
      <c r="AQ30" s="708" t="str">
        <f>IFERROR('2. Roles &amp; Pricing'!AS184/40,"")</f>
        <v/>
      </c>
      <c r="AR30" s="708" t="str">
        <f>IFERROR('2. Roles &amp; Pricing'!AT184/40,"")</f>
        <v/>
      </c>
      <c r="AS30" s="708" t="str">
        <f>IFERROR('2. Roles &amp; Pricing'!AU184/40,"")</f>
        <v/>
      </c>
      <c r="AT30" s="708" t="str">
        <f>IFERROR('2. Roles &amp; Pricing'!AV184/40,"")</f>
        <v/>
      </c>
      <c r="AU30" s="708" t="str">
        <f>IFERROR('2. Roles &amp; Pricing'!AW184/40,"")</f>
        <v/>
      </c>
      <c r="AV30" s="708" t="str">
        <f>IFERROR('2. Roles &amp; Pricing'!AX184/40,"")</f>
        <v/>
      </c>
      <c r="AW30" s="708" t="str">
        <f>IFERROR('2. Roles &amp; Pricing'!AY184/40,"")</f>
        <v/>
      </c>
      <c r="AX30" s="708" t="str">
        <f>IFERROR('2. Roles &amp; Pricing'!AZ184/40,"")</f>
        <v/>
      </c>
      <c r="AY30" s="708" t="str">
        <f>IFERROR('2. Roles &amp; Pricing'!BA184/40,"")</f>
        <v/>
      </c>
      <c r="AZ30" s="708" t="str">
        <f>IFERROR('2. Roles &amp; Pricing'!BB184/40,"")</f>
        <v/>
      </c>
      <c r="BA30" s="708" t="str">
        <f>IFERROR('2. Roles &amp; Pricing'!BC184/40,"")</f>
        <v/>
      </c>
      <c r="BB30" s="708" t="str">
        <f>IFERROR('2. Roles &amp; Pricing'!BD184/40,"")</f>
        <v/>
      </c>
      <c r="BC30" s="708" t="str">
        <f>IFERROR('2. Roles &amp; Pricing'!BE184/40,"")</f>
        <v/>
      </c>
      <c r="BD30" s="708" t="str">
        <f>IFERROR('2. Roles &amp; Pricing'!BF184/40,"")</f>
        <v/>
      </c>
      <c r="BE30" s="708" t="str">
        <f>IFERROR('2. Roles &amp; Pricing'!BG184/40,"")</f>
        <v/>
      </c>
      <c r="BF30" s="708" t="str">
        <f>IFERROR('2. Roles &amp; Pricing'!BH184/40,"")</f>
        <v/>
      </c>
      <c r="BG30" s="708" t="str">
        <f>IFERROR('2. Roles &amp; Pricing'!BI184/40,"")</f>
        <v/>
      </c>
      <c r="BH30" s="708" t="str">
        <f>IFERROR('2. Roles &amp; Pricing'!BJ184/40,"")</f>
        <v/>
      </c>
      <c r="BI30" s="708" t="str">
        <f>IFERROR('2. Roles &amp; Pricing'!BK184/40,"")</f>
        <v/>
      </c>
      <c r="BJ30" s="708" t="str">
        <f>IFERROR('2. Roles &amp; Pricing'!BL184/40,"")</f>
        <v/>
      </c>
      <c r="BK30" s="708" t="str">
        <f>IFERROR('2. Roles &amp; Pricing'!BM184/40,"")</f>
        <v/>
      </c>
      <c r="BL30" s="708" t="str">
        <f>IFERROR('2. Roles &amp; Pricing'!BN184/40,"")</f>
        <v/>
      </c>
      <c r="BM30" s="708" t="str">
        <f>IFERROR('2. Roles &amp; Pricing'!BO184/40,"")</f>
        <v/>
      </c>
      <c r="BN30" s="212">
        <f t="shared" si="49"/>
        <v>0</v>
      </c>
      <c r="BO30" s="213">
        <f t="shared" si="50"/>
        <v>0</v>
      </c>
      <c r="BP30" s="199" t="str">
        <f>'2. Roles &amp; Pricing'!D305</f>
        <v/>
      </c>
      <c r="BQ30" s="199">
        <f>'2. Roles &amp; Pricing'!F305</f>
        <v>0</v>
      </c>
      <c r="BR30" s="623">
        <f>'2. Roles &amp; Pricing'!F305</f>
        <v>0</v>
      </c>
      <c r="BS30" s="200">
        <f>'2. Roles &amp; Pricing'!I305</f>
        <v>0</v>
      </c>
      <c r="BT30" s="201" t="str">
        <f t="shared" si="51"/>
        <v/>
      </c>
      <c r="BU30" s="214">
        <f t="shared" si="48"/>
        <v>0</v>
      </c>
      <c r="BV30" s="215"/>
      <c r="BW30" s="211"/>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14.4" thickBot="1" x14ac:dyDescent="0.35">
      <c r="A31" s="216">
        <v>16</v>
      </c>
      <c r="B31" s="217">
        <v>3</v>
      </c>
      <c r="C31" s="218" t="str">
        <f t="shared" si="46"/>
        <v>0__0</v>
      </c>
      <c r="D31" s="218" t="str">
        <f t="shared" si="47"/>
        <v>0__0__0</v>
      </c>
      <c r="E31" s="218">
        <v>20</v>
      </c>
      <c r="F31" s="218">
        <v>10</v>
      </c>
      <c r="G31" s="219">
        <f>'2. Roles &amp; Pricing'!D63</f>
        <v>0</v>
      </c>
      <c r="H31" s="194">
        <f>'2. Roles &amp; Pricing'!F63</f>
        <v>0</v>
      </c>
      <c r="I31" s="221">
        <f>'2. Roles &amp; Pricing'!F63</f>
        <v>0</v>
      </c>
      <c r="J31" s="221">
        <f>'2. Roles &amp; Pricing'!K63</f>
        <v>0</v>
      </c>
      <c r="K31" s="197" t="str">
        <f>'2. Roles &amp; Pricing'!W63</f>
        <v xml:space="preserve"> </v>
      </c>
      <c r="L31" s="220"/>
      <c r="M31" s="221"/>
      <c r="N31" s="707" t="str">
        <f>IFERROR('2. Roles &amp; Pricing'!F185/40,"")</f>
        <v/>
      </c>
      <c r="O31" s="707" t="str">
        <f>IFERROR('2. Roles &amp; Pricing'!I185/40,"")</f>
        <v/>
      </c>
      <c r="P31" s="707" t="str">
        <f>IFERROR('2. Roles &amp; Pricing'!K185/40,"")</f>
        <v/>
      </c>
      <c r="Q31" s="707" t="str">
        <f>IFERROR('2. Roles &amp; Pricing'!L185/40,"")</f>
        <v/>
      </c>
      <c r="R31" s="707" t="str">
        <f>IFERROR('2. Roles &amp; Pricing'!M185/40,"")</f>
        <v/>
      </c>
      <c r="S31" s="707" t="str">
        <f>IFERROR('2. Roles &amp; Pricing'!N185/40,"")</f>
        <v/>
      </c>
      <c r="T31" s="707" t="str">
        <f>IFERROR('2. Roles &amp; Pricing'!O185/40,"")</f>
        <v/>
      </c>
      <c r="U31" s="709" t="str">
        <f>IFERROR('2. Roles &amp; Pricing'!P185/40,"")</f>
        <v/>
      </c>
      <c r="V31" s="709" t="str">
        <f>IFERROR('2. Roles &amp; Pricing'!Q185/40,"")</f>
        <v/>
      </c>
      <c r="W31" s="709" t="str">
        <f>IFERROR('2. Roles &amp; Pricing'!R185/40,"")</f>
        <v/>
      </c>
      <c r="X31" s="708" t="str">
        <f>IFERROR('2. Roles &amp; Pricing'!S185/40,"")</f>
        <v/>
      </c>
      <c r="Y31" s="708" t="str">
        <f>IFERROR('2. Roles &amp; Pricing'!T185/40,"")</f>
        <v/>
      </c>
      <c r="Z31" s="708" t="str">
        <f>IFERROR('2. Roles &amp; Pricing'!U185/40,"")</f>
        <v/>
      </c>
      <c r="AA31" s="708" t="str">
        <f>IFERROR('2. Roles &amp; Pricing'!Y185/40,"")</f>
        <v/>
      </c>
      <c r="AB31" s="708" t="str">
        <f>IFERROR('2. Roles &amp; Pricing'!Z185/40,"")</f>
        <v/>
      </c>
      <c r="AC31" s="708" t="str">
        <f>IFERROR('2. Roles &amp; Pricing'!AA185/40,"")</f>
        <v/>
      </c>
      <c r="AD31" s="708" t="str">
        <f>IFERROR('2. Roles &amp; Pricing'!AB185/40,"")</f>
        <v/>
      </c>
      <c r="AE31" s="708" t="str">
        <f>IFERROR('2. Roles &amp; Pricing'!AG185/40,"")</f>
        <v/>
      </c>
      <c r="AF31" s="708" t="str">
        <f>IFERROR('2. Roles &amp; Pricing'!AH185/40,"")</f>
        <v/>
      </c>
      <c r="AG31" s="708" t="str">
        <f>IFERROR('2. Roles &amp; Pricing'!AI185/40,"")</f>
        <v/>
      </c>
      <c r="AH31" s="708" t="str">
        <f>IFERROR('2. Roles &amp; Pricing'!AJ185/40,"")</f>
        <v/>
      </c>
      <c r="AI31" s="708" t="str">
        <f>IFERROR('2. Roles &amp; Pricing'!AK185/40,"")</f>
        <v/>
      </c>
      <c r="AJ31" s="708" t="str">
        <f>IFERROR('2. Roles &amp; Pricing'!AL185/40,"")</f>
        <v/>
      </c>
      <c r="AK31" s="708" t="str">
        <f>IFERROR('2. Roles &amp; Pricing'!AM185/40,"")</f>
        <v/>
      </c>
      <c r="AL31" s="708" t="str">
        <f>IFERROR('2. Roles &amp; Pricing'!AN185/40,"")</f>
        <v/>
      </c>
      <c r="AM31" s="708" t="str">
        <f>IFERROR('2. Roles &amp; Pricing'!AO185/40,"")</f>
        <v/>
      </c>
      <c r="AN31" s="708" t="str">
        <f>IFERROR('2. Roles &amp; Pricing'!AP185/40,"")</f>
        <v/>
      </c>
      <c r="AO31" s="708" t="str">
        <f>IFERROR('2. Roles &amp; Pricing'!AQ185/40,"")</f>
        <v/>
      </c>
      <c r="AP31" s="708" t="str">
        <f>IFERROR('2. Roles &amp; Pricing'!AR185/40,"")</f>
        <v/>
      </c>
      <c r="AQ31" s="708" t="str">
        <f>IFERROR('2. Roles &amp; Pricing'!AS185/40,"")</f>
        <v/>
      </c>
      <c r="AR31" s="708" t="str">
        <f>IFERROR('2. Roles &amp; Pricing'!AT185/40,"")</f>
        <v/>
      </c>
      <c r="AS31" s="708" t="str">
        <f>IFERROR('2. Roles &amp; Pricing'!AU185/40,"")</f>
        <v/>
      </c>
      <c r="AT31" s="708" t="str">
        <f>IFERROR('2. Roles &amp; Pricing'!AV185/40,"")</f>
        <v/>
      </c>
      <c r="AU31" s="708" t="str">
        <f>IFERROR('2. Roles &amp; Pricing'!AW185/40,"")</f>
        <v/>
      </c>
      <c r="AV31" s="708" t="str">
        <f>IFERROR('2. Roles &amp; Pricing'!AX185/40,"")</f>
        <v/>
      </c>
      <c r="AW31" s="708" t="str">
        <f>IFERROR('2. Roles &amp; Pricing'!AY185/40,"")</f>
        <v/>
      </c>
      <c r="AX31" s="708" t="str">
        <f>IFERROR('2. Roles &amp; Pricing'!AZ185/40,"")</f>
        <v/>
      </c>
      <c r="AY31" s="708" t="str">
        <f>IFERROR('2. Roles &amp; Pricing'!BA185/40,"")</f>
        <v/>
      </c>
      <c r="AZ31" s="708" t="str">
        <f>IFERROR('2. Roles &amp; Pricing'!BB185/40,"")</f>
        <v/>
      </c>
      <c r="BA31" s="708" t="str">
        <f>IFERROR('2. Roles &amp; Pricing'!BC185/40,"")</f>
        <v/>
      </c>
      <c r="BB31" s="708" t="str">
        <f>IFERROR('2. Roles &amp; Pricing'!BD185/40,"")</f>
        <v/>
      </c>
      <c r="BC31" s="708" t="str">
        <f>IFERROR('2. Roles &amp; Pricing'!BE185/40,"")</f>
        <v/>
      </c>
      <c r="BD31" s="708" t="str">
        <f>IFERROR('2. Roles &amp; Pricing'!BF185/40,"")</f>
        <v/>
      </c>
      <c r="BE31" s="708" t="str">
        <f>IFERROR('2. Roles &amp; Pricing'!BG185/40,"")</f>
        <v/>
      </c>
      <c r="BF31" s="708" t="str">
        <f>IFERROR('2. Roles &amp; Pricing'!BH185/40,"")</f>
        <v/>
      </c>
      <c r="BG31" s="708" t="str">
        <f>IFERROR('2. Roles &amp; Pricing'!BI185/40,"")</f>
        <v/>
      </c>
      <c r="BH31" s="708" t="str">
        <f>IFERROR('2. Roles &amp; Pricing'!BJ185/40,"")</f>
        <v/>
      </c>
      <c r="BI31" s="708" t="str">
        <f>IFERROR('2. Roles &amp; Pricing'!BK185/40,"")</f>
        <v/>
      </c>
      <c r="BJ31" s="708" t="str">
        <f>IFERROR('2. Roles &amp; Pricing'!BL185/40,"")</f>
        <v/>
      </c>
      <c r="BK31" s="708" t="str">
        <f>IFERROR('2. Roles &amp; Pricing'!BM185/40,"")</f>
        <v/>
      </c>
      <c r="BL31" s="708" t="str">
        <f>IFERROR('2. Roles &amp; Pricing'!BN185/40,"")</f>
        <v/>
      </c>
      <c r="BM31" s="708" t="str">
        <f>IFERROR('2. Roles &amp; Pricing'!BO185/40,"")</f>
        <v/>
      </c>
      <c r="BN31" s="223">
        <f t="shared" si="49"/>
        <v>0</v>
      </c>
      <c r="BO31" s="224">
        <f t="shared" si="50"/>
        <v>0</v>
      </c>
      <c r="BP31" s="199" t="str">
        <f>'2. Roles &amp; Pricing'!D306</f>
        <v/>
      </c>
      <c r="BQ31" s="199">
        <f>'2. Roles &amp; Pricing'!F306</f>
        <v>0</v>
      </c>
      <c r="BR31" s="623">
        <f>'2. Roles &amp; Pricing'!F306</f>
        <v>0</v>
      </c>
      <c r="BS31" s="200">
        <f>'2. Roles &amp; Pricing'!I306</f>
        <v>0</v>
      </c>
      <c r="BT31" s="201" t="str">
        <f t="shared" si="51"/>
        <v/>
      </c>
      <c r="BU31" s="225">
        <f t="shared" si="48"/>
        <v>0</v>
      </c>
      <c r="BV31" s="226"/>
      <c r="BW31" s="222"/>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20.7" customHeight="1" thickBot="1" x14ac:dyDescent="0.35">
      <c r="A32" s="227">
        <v>17</v>
      </c>
      <c r="B32" s="228">
        <v>3</v>
      </c>
      <c r="C32" s="229" t="str">
        <f t="shared" si="46"/>
        <v>0__0</v>
      </c>
      <c r="D32" s="229" t="str">
        <f t="shared" si="47"/>
        <v>0__0__0</v>
      </c>
      <c r="E32" s="229">
        <v>21</v>
      </c>
      <c r="F32" s="229">
        <v>8</v>
      </c>
      <c r="G32" s="230">
        <f>'2. Roles &amp; Pricing'!D64</f>
        <v>0</v>
      </c>
      <c r="H32" s="194">
        <f>'2. Roles &amp; Pricing'!F64</f>
        <v>0</v>
      </c>
      <c r="I32" s="232">
        <f>'2. Roles &amp; Pricing'!F64</f>
        <v>0</v>
      </c>
      <c r="J32" s="232">
        <f>'2. Roles &amp; Pricing'!K64</f>
        <v>0</v>
      </c>
      <c r="K32" s="233" t="s">
        <v>120</v>
      </c>
      <c r="L32" s="231"/>
      <c r="M32" s="232"/>
      <c r="N32" s="707" t="str">
        <f>IFERROR('2. Roles &amp; Pricing'!F186/40,"")</f>
        <v/>
      </c>
      <c r="O32" s="707" t="str">
        <f>IFERROR('2. Roles &amp; Pricing'!I186/40,"")</f>
        <v/>
      </c>
      <c r="P32" s="707" t="str">
        <f>IFERROR('2. Roles &amp; Pricing'!K186/40,"")</f>
        <v/>
      </c>
      <c r="Q32" s="707" t="str">
        <f>IFERROR('2. Roles &amp; Pricing'!L186/40,"")</f>
        <v/>
      </c>
      <c r="R32" s="707" t="str">
        <f>IFERROR('2. Roles &amp; Pricing'!M186/40,"")</f>
        <v/>
      </c>
      <c r="S32" s="707" t="str">
        <f>IFERROR('2. Roles &amp; Pricing'!N186/40,"")</f>
        <v/>
      </c>
      <c r="T32" s="707" t="str">
        <f>IFERROR('2. Roles &amp; Pricing'!O186/40,"")</f>
        <v/>
      </c>
      <c r="U32" s="709" t="str">
        <f>IFERROR('2. Roles &amp; Pricing'!P186/40,"")</f>
        <v/>
      </c>
      <c r="V32" s="709" t="str">
        <f>IFERROR('2. Roles &amp; Pricing'!Q186/40,"")</f>
        <v/>
      </c>
      <c r="W32" s="709" t="str">
        <f>IFERROR('2. Roles &amp; Pricing'!R186/40,"")</f>
        <v/>
      </c>
      <c r="X32" s="708" t="str">
        <f>IFERROR('2. Roles &amp; Pricing'!S186/40,"")</f>
        <v/>
      </c>
      <c r="Y32" s="708" t="str">
        <f>IFERROR('2. Roles &amp; Pricing'!T186/40,"")</f>
        <v/>
      </c>
      <c r="Z32" s="708" t="str">
        <f>IFERROR('2. Roles &amp; Pricing'!U186/40,"")</f>
        <v/>
      </c>
      <c r="AA32" s="708" t="str">
        <f>IFERROR('2. Roles &amp; Pricing'!Y186/40,"")</f>
        <v/>
      </c>
      <c r="AB32" s="708" t="str">
        <f>IFERROR('2. Roles &amp; Pricing'!Z186/40,"")</f>
        <v/>
      </c>
      <c r="AC32" s="708" t="str">
        <f>IFERROR('2. Roles &amp; Pricing'!AA186/40,"")</f>
        <v/>
      </c>
      <c r="AD32" s="708" t="str">
        <f>IFERROR('2. Roles &amp; Pricing'!AB186/40,"")</f>
        <v/>
      </c>
      <c r="AE32" s="708" t="str">
        <f>IFERROR('2. Roles &amp; Pricing'!AG186/40,"")</f>
        <v/>
      </c>
      <c r="AF32" s="708" t="str">
        <f>IFERROR('2. Roles &amp; Pricing'!AH186/40,"")</f>
        <v/>
      </c>
      <c r="AG32" s="708" t="str">
        <f>IFERROR('2. Roles &amp; Pricing'!AI186/40,"")</f>
        <v/>
      </c>
      <c r="AH32" s="708" t="str">
        <f>IFERROR('2. Roles &amp; Pricing'!AJ186/40,"")</f>
        <v/>
      </c>
      <c r="AI32" s="708" t="str">
        <f>IFERROR('2. Roles &amp; Pricing'!AK186/40,"")</f>
        <v/>
      </c>
      <c r="AJ32" s="708" t="str">
        <f>IFERROR('2. Roles &amp; Pricing'!AL186/40,"")</f>
        <v/>
      </c>
      <c r="AK32" s="708" t="str">
        <f>IFERROR('2. Roles &amp; Pricing'!AM186/40,"")</f>
        <v/>
      </c>
      <c r="AL32" s="708" t="str">
        <f>IFERROR('2. Roles &amp; Pricing'!AN186/40,"")</f>
        <v/>
      </c>
      <c r="AM32" s="708" t="str">
        <f>IFERROR('2. Roles &amp; Pricing'!AO186/40,"")</f>
        <v/>
      </c>
      <c r="AN32" s="708" t="str">
        <f>IFERROR('2. Roles &amp; Pricing'!AP186/40,"")</f>
        <v/>
      </c>
      <c r="AO32" s="708" t="str">
        <f>IFERROR('2. Roles &amp; Pricing'!AQ186/40,"")</f>
        <v/>
      </c>
      <c r="AP32" s="708" t="str">
        <f>IFERROR('2. Roles &amp; Pricing'!AR186/40,"")</f>
        <v/>
      </c>
      <c r="AQ32" s="708" t="str">
        <f>IFERROR('2. Roles &amp; Pricing'!AS186/40,"")</f>
        <v/>
      </c>
      <c r="AR32" s="708" t="str">
        <f>IFERROR('2. Roles &amp; Pricing'!AT186/40,"")</f>
        <v/>
      </c>
      <c r="AS32" s="708" t="str">
        <f>IFERROR('2. Roles &amp; Pricing'!AU186/40,"")</f>
        <v/>
      </c>
      <c r="AT32" s="708" t="str">
        <f>IFERROR('2. Roles &amp; Pricing'!AV186/40,"")</f>
        <v/>
      </c>
      <c r="AU32" s="708" t="str">
        <f>IFERROR('2. Roles &amp; Pricing'!AW186/40,"")</f>
        <v/>
      </c>
      <c r="AV32" s="708" t="str">
        <f>IFERROR('2. Roles &amp; Pricing'!AX186/40,"")</f>
        <v/>
      </c>
      <c r="AW32" s="708" t="str">
        <f>IFERROR('2. Roles &amp; Pricing'!AY186/40,"")</f>
        <v/>
      </c>
      <c r="AX32" s="708" t="str">
        <f>IFERROR('2. Roles &amp; Pricing'!AZ186/40,"")</f>
        <v/>
      </c>
      <c r="AY32" s="708" t="str">
        <f>IFERROR('2. Roles &amp; Pricing'!BA186/40,"")</f>
        <v/>
      </c>
      <c r="AZ32" s="708" t="str">
        <f>IFERROR('2. Roles &amp; Pricing'!BB186/40,"")</f>
        <v/>
      </c>
      <c r="BA32" s="708" t="str">
        <f>IFERROR('2. Roles &amp; Pricing'!BC186/40,"")</f>
        <v/>
      </c>
      <c r="BB32" s="708" t="str">
        <f>IFERROR('2. Roles &amp; Pricing'!BD186/40,"")</f>
        <v/>
      </c>
      <c r="BC32" s="708" t="str">
        <f>IFERROR('2. Roles &amp; Pricing'!BE186/40,"")</f>
        <v/>
      </c>
      <c r="BD32" s="708" t="str">
        <f>IFERROR('2. Roles &amp; Pricing'!BF186/40,"")</f>
        <v/>
      </c>
      <c r="BE32" s="708" t="str">
        <f>IFERROR('2. Roles &amp; Pricing'!BG186/40,"")</f>
        <v/>
      </c>
      <c r="BF32" s="708" t="str">
        <f>IFERROR('2. Roles &amp; Pricing'!BH186/40,"")</f>
        <v/>
      </c>
      <c r="BG32" s="708" t="str">
        <f>IFERROR('2. Roles &amp; Pricing'!BI186/40,"")</f>
        <v/>
      </c>
      <c r="BH32" s="708" t="str">
        <f>IFERROR('2. Roles &amp; Pricing'!BJ186/40,"")</f>
        <v/>
      </c>
      <c r="BI32" s="708" t="str">
        <f>IFERROR('2. Roles &amp; Pricing'!BK186/40,"")</f>
        <v/>
      </c>
      <c r="BJ32" s="708" t="str">
        <f>IFERROR('2. Roles &amp; Pricing'!BL186/40,"")</f>
        <v/>
      </c>
      <c r="BK32" s="708" t="str">
        <f>IFERROR('2. Roles &amp; Pricing'!BM186/40,"")</f>
        <v/>
      </c>
      <c r="BL32" s="708" t="str">
        <f>IFERROR('2. Roles &amp; Pricing'!BN186/40,"")</f>
        <v/>
      </c>
      <c r="BM32" s="708" t="str">
        <f>IFERROR('2. Roles &amp; Pricing'!BO186/40,"")</f>
        <v/>
      </c>
      <c r="BN32" s="234">
        <f t="shared" si="49"/>
        <v>0</v>
      </c>
      <c r="BO32" s="235">
        <f t="shared" si="50"/>
        <v>0</v>
      </c>
      <c r="BP32" s="199" t="str">
        <f>'2. Roles &amp; Pricing'!D307</f>
        <v/>
      </c>
      <c r="BQ32" s="199">
        <f>'2. Roles &amp; Pricing'!F307</f>
        <v>0</v>
      </c>
      <c r="BR32" s="623">
        <f>'2. Roles &amp; Pricing'!F307</f>
        <v>0</v>
      </c>
      <c r="BS32" s="200">
        <f>'2. Roles &amp; Pricing'!I307</f>
        <v>0</v>
      </c>
      <c r="BT32" s="201" t="str">
        <f t="shared" si="51"/>
        <v/>
      </c>
      <c r="BU32" s="236">
        <f t="shared" si="48"/>
        <v>0</v>
      </c>
      <c r="BV32" s="237"/>
      <c r="BW32" s="1770" t="s">
        <v>2020</v>
      </c>
      <c r="BX32" s="144"/>
      <c r="BY32" s="144"/>
      <c r="BZ32" s="144"/>
      <c r="CA32" s="144"/>
      <c r="CB32" s="144"/>
      <c r="CC32" s="144"/>
      <c r="CD32" s="144"/>
      <c r="CE32" s="144"/>
      <c r="CF32" s="144"/>
      <c r="CG32" s="144"/>
      <c r="CH32" s="144"/>
      <c r="CI32" s="144"/>
      <c r="CJ32" s="144"/>
      <c r="CK32" s="144"/>
      <c r="CL32" s="144"/>
      <c r="CM32" s="144"/>
      <c r="CN32" s="144"/>
      <c r="CO32" s="144"/>
      <c r="CP32" s="144"/>
    </row>
    <row r="33" spans="1:94" s="204" customFormat="1" ht="14.4" thickBot="1" x14ac:dyDescent="0.35">
      <c r="A33" s="238">
        <v>18</v>
      </c>
      <c r="B33" s="239">
        <v>3</v>
      </c>
      <c r="C33" s="240" t="str">
        <f t="shared" si="46"/>
        <v>0__0</v>
      </c>
      <c r="D33" s="240" t="str">
        <f t="shared" si="47"/>
        <v>0__0__0</v>
      </c>
      <c r="E33" s="240">
        <v>20</v>
      </c>
      <c r="F33" s="240">
        <v>10</v>
      </c>
      <c r="G33" s="241">
        <f>'2. Roles &amp; Pricing'!D65</f>
        <v>0</v>
      </c>
      <c r="H33" s="194">
        <f>'2. Roles &amp; Pricing'!F65</f>
        <v>0</v>
      </c>
      <c r="I33" s="243">
        <f>'2. Roles &amp; Pricing'!F65</f>
        <v>0</v>
      </c>
      <c r="J33" s="243">
        <f>'2. Roles &amp; Pricing'!K65</f>
        <v>0</v>
      </c>
      <c r="K33" s="244" t="s">
        <v>119</v>
      </c>
      <c r="L33" s="242"/>
      <c r="M33" s="243"/>
      <c r="N33" s="707" t="str">
        <f>IFERROR('2. Roles &amp; Pricing'!F187/40,"")</f>
        <v/>
      </c>
      <c r="O33" s="707" t="str">
        <f>IFERROR('2. Roles &amp; Pricing'!I187/40,"")</f>
        <v/>
      </c>
      <c r="P33" s="707" t="str">
        <f>IFERROR('2. Roles &amp; Pricing'!K187/40,"")</f>
        <v/>
      </c>
      <c r="Q33" s="707" t="str">
        <f>IFERROR('2. Roles &amp; Pricing'!L187/40,"")</f>
        <v/>
      </c>
      <c r="R33" s="707" t="str">
        <f>IFERROR('2. Roles &amp; Pricing'!M187/40,"")</f>
        <v/>
      </c>
      <c r="S33" s="707" t="str">
        <f>IFERROR('2. Roles &amp; Pricing'!N187/40,"")</f>
        <v/>
      </c>
      <c r="T33" s="707" t="str">
        <f>IFERROR('2. Roles &amp; Pricing'!O187/40,"")</f>
        <v/>
      </c>
      <c r="U33" s="709" t="str">
        <f>IFERROR('2. Roles &amp; Pricing'!P187/40,"")</f>
        <v/>
      </c>
      <c r="V33" s="709" t="str">
        <f>IFERROR('2. Roles &amp; Pricing'!Q187/40,"")</f>
        <v/>
      </c>
      <c r="W33" s="709" t="str">
        <f>IFERROR('2. Roles &amp; Pricing'!R187/40,"")</f>
        <v/>
      </c>
      <c r="X33" s="708" t="str">
        <f>IFERROR('2. Roles &amp; Pricing'!S187/40,"")</f>
        <v/>
      </c>
      <c r="Y33" s="708" t="str">
        <f>IFERROR('2. Roles &amp; Pricing'!T187/40,"")</f>
        <v/>
      </c>
      <c r="Z33" s="708" t="str">
        <f>IFERROR('2. Roles &amp; Pricing'!U187/40,"")</f>
        <v/>
      </c>
      <c r="AA33" s="708" t="str">
        <f>IFERROR('2. Roles &amp; Pricing'!Y187/40,"")</f>
        <v/>
      </c>
      <c r="AB33" s="708" t="str">
        <f>IFERROR('2. Roles &amp; Pricing'!Z187/40,"")</f>
        <v/>
      </c>
      <c r="AC33" s="708" t="str">
        <f>IFERROR('2. Roles &amp; Pricing'!AA187/40,"")</f>
        <v/>
      </c>
      <c r="AD33" s="708" t="str">
        <f>IFERROR('2. Roles &amp; Pricing'!AB187/40,"")</f>
        <v/>
      </c>
      <c r="AE33" s="708" t="str">
        <f>IFERROR('2. Roles &amp; Pricing'!AG187/40,"")</f>
        <v/>
      </c>
      <c r="AF33" s="708" t="str">
        <f>IFERROR('2. Roles &amp; Pricing'!AH187/40,"")</f>
        <v/>
      </c>
      <c r="AG33" s="708" t="str">
        <f>IFERROR('2. Roles &amp; Pricing'!AI187/40,"")</f>
        <v/>
      </c>
      <c r="AH33" s="708" t="str">
        <f>IFERROR('2. Roles &amp; Pricing'!AJ187/40,"")</f>
        <v/>
      </c>
      <c r="AI33" s="708" t="str">
        <f>IFERROR('2. Roles &amp; Pricing'!AK187/40,"")</f>
        <v/>
      </c>
      <c r="AJ33" s="708" t="str">
        <f>IFERROR('2. Roles &amp; Pricing'!AL187/40,"")</f>
        <v/>
      </c>
      <c r="AK33" s="708" t="str">
        <f>IFERROR('2. Roles &amp; Pricing'!AM187/40,"")</f>
        <v/>
      </c>
      <c r="AL33" s="708" t="str">
        <f>IFERROR('2. Roles &amp; Pricing'!AN187/40,"")</f>
        <v/>
      </c>
      <c r="AM33" s="708" t="str">
        <f>IFERROR('2. Roles &amp; Pricing'!AO187/40,"")</f>
        <v/>
      </c>
      <c r="AN33" s="708" t="str">
        <f>IFERROR('2. Roles &amp; Pricing'!AP187/40,"")</f>
        <v/>
      </c>
      <c r="AO33" s="708" t="str">
        <f>IFERROR('2. Roles &amp; Pricing'!AQ187/40,"")</f>
        <v/>
      </c>
      <c r="AP33" s="708" t="str">
        <f>IFERROR('2. Roles &amp; Pricing'!AR187/40,"")</f>
        <v/>
      </c>
      <c r="AQ33" s="708" t="str">
        <f>IFERROR('2. Roles &amp; Pricing'!AS187/40,"")</f>
        <v/>
      </c>
      <c r="AR33" s="708" t="str">
        <f>IFERROR('2. Roles &amp; Pricing'!AT187/40,"")</f>
        <v/>
      </c>
      <c r="AS33" s="708" t="str">
        <f>IFERROR('2. Roles &amp; Pricing'!AU187/40,"")</f>
        <v/>
      </c>
      <c r="AT33" s="708" t="str">
        <f>IFERROR('2. Roles &amp; Pricing'!AV187/40,"")</f>
        <v/>
      </c>
      <c r="AU33" s="708" t="str">
        <f>IFERROR('2. Roles &amp; Pricing'!AW187/40,"")</f>
        <v/>
      </c>
      <c r="AV33" s="708" t="str">
        <f>IFERROR('2. Roles &amp; Pricing'!AX187/40,"")</f>
        <v/>
      </c>
      <c r="AW33" s="708" t="str">
        <f>IFERROR('2. Roles &amp; Pricing'!AY187/40,"")</f>
        <v/>
      </c>
      <c r="AX33" s="708" t="str">
        <f>IFERROR('2. Roles &amp; Pricing'!AZ187/40,"")</f>
        <v/>
      </c>
      <c r="AY33" s="708" t="str">
        <f>IFERROR('2. Roles &amp; Pricing'!BA187/40,"")</f>
        <v/>
      </c>
      <c r="AZ33" s="708" t="str">
        <f>IFERROR('2. Roles &amp; Pricing'!BB187/40,"")</f>
        <v/>
      </c>
      <c r="BA33" s="708" t="str">
        <f>IFERROR('2. Roles &amp; Pricing'!BC187/40,"")</f>
        <v/>
      </c>
      <c r="BB33" s="708" t="str">
        <f>IFERROR('2. Roles &amp; Pricing'!BD187/40,"")</f>
        <v/>
      </c>
      <c r="BC33" s="708" t="str">
        <f>IFERROR('2. Roles &amp; Pricing'!BE187/40,"")</f>
        <v/>
      </c>
      <c r="BD33" s="708" t="str">
        <f>IFERROR('2. Roles &amp; Pricing'!BF187/40,"")</f>
        <v/>
      </c>
      <c r="BE33" s="708" t="str">
        <f>IFERROR('2. Roles &amp; Pricing'!BG187/40,"")</f>
        <v/>
      </c>
      <c r="BF33" s="708" t="str">
        <f>IFERROR('2. Roles &amp; Pricing'!BH187/40,"")</f>
        <v/>
      </c>
      <c r="BG33" s="708" t="str">
        <f>IFERROR('2. Roles &amp; Pricing'!BI187/40,"")</f>
        <v/>
      </c>
      <c r="BH33" s="708" t="str">
        <f>IFERROR('2. Roles &amp; Pricing'!BJ187/40,"")</f>
        <v/>
      </c>
      <c r="BI33" s="708" t="str">
        <f>IFERROR('2. Roles &amp; Pricing'!BK187/40,"")</f>
        <v/>
      </c>
      <c r="BJ33" s="708" t="str">
        <f>IFERROR('2. Roles &amp; Pricing'!BL187/40,"")</f>
        <v/>
      </c>
      <c r="BK33" s="708" t="str">
        <f>IFERROR('2. Roles &amp; Pricing'!BM187/40,"")</f>
        <v/>
      </c>
      <c r="BL33" s="708" t="str">
        <f>IFERROR('2. Roles &amp; Pricing'!BN187/40,"")</f>
        <v/>
      </c>
      <c r="BM33" s="708" t="str">
        <f>IFERROR('2. Roles &amp; Pricing'!BO187/40,"")</f>
        <v/>
      </c>
      <c r="BN33" s="223">
        <f t="shared" si="49"/>
        <v>0</v>
      </c>
      <c r="BO33" s="224">
        <f t="shared" si="50"/>
        <v>0</v>
      </c>
      <c r="BP33" s="199" t="str">
        <f>'2. Roles &amp; Pricing'!D308</f>
        <v/>
      </c>
      <c r="BQ33" s="199">
        <f>'2. Roles &amp; Pricing'!F308</f>
        <v>0</v>
      </c>
      <c r="BR33" s="623">
        <f>'2. Roles &amp; Pricing'!F308</f>
        <v>0</v>
      </c>
      <c r="BS33" s="200">
        <f>'2. Roles &amp; Pricing'!I308</f>
        <v>0</v>
      </c>
      <c r="BT33" s="201" t="str">
        <f t="shared" si="51"/>
        <v/>
      </c>
      <c r="BU33" s="225">
        <f t="shared" si="48"/>
        <v>0</v>
      </c>
      <c r="BV33" s="245"/>
      <c r="BW33" s="1771"/>
      <c r="BX33" s="144"/>
      <c r="BY33" s="144"/>
      <c r="BZ33" s="144"/>
      <c r="CA33" s="144"/>
      <c r="CB33" s="144"/>
      <c r="CC33" s="144"/>
      <c r="CD33" s="144"/>
      <c r="CE33" s="144"/>
      <c r="CF33" s="144"/>
      <c r="CG33" s="144"/>
      <c r="CH33" s="144"/>
      <c r="CI33" s="144"/>
      <c r="CJ33" s="144"/>
      <c r="CK33" s="144"/>
      <c r="CL33" s="144"/>
      <c r="CM33" s="144"/>
      <c r="CN33" s="144"/>
      <c r="CO33" s="144"/>
      <c r="CP33" s="144"/>
    </row>
    <row r="34" spans="1:94" s="204" customFormat="1" ht="14.4" thickBot="1" x14ac:dyDescent="0.35">
      <c r="A34" s="1780"/>
      <c r="B34" s="1781"/>
      <c r="C34" s="1781"/>
      <c r="D34" s="1781"/>
      <c r="E34" s="1781"/>
      <c r="F34" s="1781"/>
      <c r="G34" s="1781"/>
      <c r="H34" s="1781"/>
      <c r="I34" s="1782"/>
      <c r="J34" s="246"/>
      <c r="K34" s="247"/>
      <c r="L34" s="248"/>
      <c r="M34" s="248"/>
      <c r="N34" s="707" t="str">
        <f>IFERROR('2. Roles &amp; Pricing'!F188/40,"")</f>
        <v/>
      </c>
      <c r="O34" s="707" t="str">
        <f>IFERROR('2. Roles &amp; Pricing'!I188/40,"")</f>
        <v/>
      </c>
      <c r="P34" s="707" t="str">
        <f>IFERROR('2. Roles &amp; Pricing'!K188/40,"")</f>
        <v/>
      </c>
      <c r="Q34" s="707" t="str">
        <f>IFERROR('2. Roles &amp; Pricing'!L188/40,"")</f>
        <v/>
      </c>
      <c r="R34" s="707" t="str">
        <f>IFERROR('2. Roles &amp; Pricing'!M188/40,"")</f>
        <v/>
      </c>
      <c r="S34" s="707" t="str">
        <f>IFERROR('2. Roles &amp; Pricing'!N188/40,"")</f>
        <v/>
      </c>
      <c r="T34" s="707" t="str">
        <f>IFERROR('2. Roles &amp; Pricing'!O188/40,"")</f>
        <v/>
      </c>
      <c r="U34" s="709" t="str">
        <f>IFERROR('2. Roles &amp; Pricing'!P188/40,"")</f>
        <v/>
      </c>
      <c r="V34" s="709" t="str">
        <f>IFERROR('2. Roles &amp; Pricing'!Q188/40,"")</f>
        <v/>
      </c>
      <c r="W34" s="709" t="str">
        <f>IFERROR('2. Roles &amp; Pricing'!R188/40,"")</f>
        <v/>
      </c>
      <c r="X34" s="708" t="str">
        <f>IFERROR('2. Roles &amp; Pricing'!S188/40,"")</f>
        <v/>
      </c>
      <c r="Y34" s="708" t="str">
        <f>IFERROR('2. Roles &amp; Pricing'!T188/40,"")</f>
        <v/>
      </c>
      <c r="Z34" s="708" t="str">
        <f>IFERROR('2. Roles &amp; Pricing'!U188/40,"")</f>
        <v/>
      </c>
      <c r="AA34" s="708" t="str">
        <f>IFERROR('2. Roles &amp; Pricing'!Y188/40,"")</f>
        <v/>
      </c>
      <c r="AB34" s="708" t="str">
        <f>IFERROR('2. Roles &amp; Pricing'!Z188/40,"")</f>
        <v/>
      </c>
      <c r="AC34" s="708" t="str">
        <f>IFERROR('2. Roles &amp; Pricing'!AA188/40,"")</f>
        <v/>
      </c>
      <c r="AD34" s="708" t="str">
        <f>IFERROR('2. Roles &amp; Pricing'!AB188/40,"")</f>
        <v/>
      </c>
      <c r="AE34" s="708" t="str">
        <f>IFERROR('2. Roles &amp; Pricing'!AG188/40,"")</f>
        <v/>
      </c>
      <c r="AF34" s="708" t="str">
        <f>IFERROR('2. Roles &amp; Pricing'!AH188/40,"")</f>
        <v/>
      </c>
      <c r="AG34" s="708" t="str">
        <f>IFERROR('2. Roles &amp; Pricing'!AI188/40,"")</f>
        <v/>
      </c>
      <c r="AH34" s="708" t="str">
        <f>IFERROR('2. Roles &amp; Pricing'!AJ188/40,"")</f>
        <v/>
      </c>
      <c r="AI34" s="708" t="str">
        <f>IFERROR('2. Roles &amp; Pricing'!AK188/40,"")</f>
        <v/>
      </c>
      <c r="AJ34" s="708" t="str">
        <f>IFERROR('2. Roles &amp; Pricing'!AL188/40,"")</f>
        <v/>
      </c>
      <c r="AK34" s="708" t="str">
        <f>IFERROR('2. Roles &amp; Pricing'!AM188/40,"")</f>
        <v/>
      </c>
      <c r="AL34" s="708" t="str">
        <f>IFERROR('2. Roles &amp; Pricing'!AN188/40,"")</f>
        <v/>
      </c>
      <c r="AM34" s="708" t="str">
        <f>IFERROR('2. Roles &amp; Pricing'!AO188/40,"")</f>
        <v/>
      </c>
      <c r="AN34" s="708" t="str">
        <f>IFERROR('2. Roles &amp; Pricing'!AP188/40,"")</f>
        <v/>
      </c>
      <c r="AO34" s="708" t="str">
        <f>IFERROR('2. Roles &amp; Pricing'!AQ188/40,"")</f>
        <v/>
      </c>
      <c r="AP34" s="708" t="str">
        <f>IFERROR('2. Roles &amp; Pricing'!AR188/40,"")</f>
        <v/>
      </c>
      <c r="AQ34" s="708" t="str">
        <f>IFERROR('2. Roles &amp; Pricing'!AS188/40,"")</f>
        <v/>
      </c>
      <c r="AR34" s="708" t="str">
        <f>IFERROR('2. Roles &amp; Pricing'!AT188/40,"")</f>
        <v/>
      </c>
      <c r="AS34" s="708" t="str">
        <f>IFERROR('2. Roles &amp; Pricing'!AU188/40,"")</f>
        <v/>
      </c>
      <c r="AT34" s="708" t="str">
        <f>IFERROR('2. Roles &amp; Pricing'!AV188/40,"")</f>
        <v/>
      </c>
      <c r="AU34" s="708" t="str">
        <f>IFERROR('2. Roles &amp; Pricing'!AW188/40,"")</f>
        <v/>
      </c>
      <c r="AV34" s="708" t="str">
        <f>IFERROR('2. Roles &amp; Pricing'!AX188/40,"")</f>
        <v/>
      </c>
      <c r="AW34" s="708" t="str">
        <f>IFERROR('2. Roles &amp; Pricing'!AY188/40,"")</f>
        <v/>
      </c>
      <c r="AX34" s="708" t="str">
        <f>IFERROR('2. Roles &amp; Pricing'!AZ188/40,"")</f>
        <v/>
      </c>
      <c r="AY34" s="708" t="str">
        <f>IFERROR('2. Roles &amp; Pricing'!BA188/40,"")</f>
        <v/>
      </c>
      <c r="AZ34" s="708" t="str">
        <f>IFERROR('2. Roles &amp; Pricing'!BB188/40,"")</f>
        <v/>
      </c>
      <c r="BA34" s="708" t="str">
        <f>IFERROR('2. Roles &amp; Pricing'!BC188/40,"")</f>
        <v/>
      </c>
      <c r="BB34" s="708" t="str">
        <f>IFERROR('2. Roles &amp; Pricing'!BD188/40,"")</f>
        <v/>
      </c>
      <c r="BC34" s="708" t="str">
        <f>IFERROR('2. Roles &amp; Pricing'!BE188/40,"")</f>
        <v/>
      </c>
      <c r="BD34" s="708" t="str">
        <f>IFERROR('2. Roles &amp; Pricing'!BF188/40,"")</f>
        <v/>
      </c>
      <c r="BE34" s="708" t="str">
        <f>IFERROR('2. Roles &amp; Pricing'!BG188/40,"")</f>
        <v/>
      </c>
      <c r="BF34" s="708" t="str">
        <f>IFERROR('2. Roles &amp; Pricing'!BH188/40,"")</f>
        <v/>
      </c>
      <c r="BG34" s="708" t="str">
        <f>IFERROR('2. Roles &amp; Pricing'!BI188/40,"")</f>
        <v/>
      </c>
      <c r="BH34" s="708" t="str">
        <f>IFERROR('2. Roles &amp; Pricing'!BJ188/40,"")</f>
        <v/>
      </c>
      <c r="BI34" s="708" t="str">
        <f>IFERROR('2. Roles &amp; Pricing'!BK188/40,"")</f>
        <v/>
      </c>
      <c r="BJ34" s="708" t="str">
        <f>IFERROR('2. Roles &amp; Pricing'!BL188/40,"")</f>
        <v/>
      </c>
      <c r="BK34" s="708" t="str">
        <f>IFERROR('2. Roles &amp; Pricing'!BM188/40,"")</f>
        <v/>
      </c>
      <c r="BL34" s="708" t="str">
        <f>IFERROR('2. Roles &amp; Pricing'!BN188/40,"")</f>
        <v/>
      </c>
      <c r="BM34" s="708" t="str">
        <f>IFERROR('2. Roles &amp; Pricing'!BO188/40,"")</f>
        <v/>
      </c>
      <c r="BN34" s="249">
        <f>SUM(BN16:BN33)</f>
        <v>211</v>
      </c>
      <c r="BO34" s="250">
        <f>SUM(BO16:BO33)</f>
        <v>1055</v>
      </c>
      <c r="BP34" s="251">
        <f>SUM(BP16:BP33)</f>
        <v>898000</v>
      </c>
      <c r="BQ34" s="199">
        <f>'2. Roles &amp; Pricing'!F309</f>
        <v>0</v>
      </c>
      <c r="BR34" s="252"/>
      <c r="BS34" s="253"/>
      <c r="BT34" s="254">
        <f>SUM(BT16:BT33)</f>
        <v>898000</v>
      </c>
      <c r="BU34" s="255">
        <f>SUM(BU16:BU33)</f>
        <v>8440</v>
      </c>
    </row>
    <row r="35" spans="1:94" s="204" customFormat="1" ht="14.4" thickBot="1" x14ac:dyDescent="0.35">
      <c r="A35" s="1780"/>
      <c r="B35" s="1781"/>
      <c r="C35" s="1781"/>
      <c r="D35" s="1781"/>
      <c r="E35" s="1781"/>
      <c r="F35" s="1781"/>
      <c r="G35" s="1781"/>
      <c r="H35" s="1781"/>
      <c r="I35" s="1782"/>
      <c r="J35" s="256" t="s">
        <v>178</v>
      </c>
      <c r="K35" s="257"/>
      <c r="L35" s="258"/>
      <c r="M35" s="258"/>
      <c r="N35" s="707" t="str">
        <f>IFERROR('2. Roles &amp; Pricing'!F189/40,"")</f>
        <v/>
      </c>
      <c r="O35" s="707" t="str">
        <f>IFERROR('2. Roles &amp; Pricing'!I189/40,"")</f>
        <v/>
      </c>
      <c r="P35" s="707" t="str">
        <f>IFERROR('2. Roles &amp; Pricing'!K189/40,"")</f>
        <v/>
      </c>
      <c r="Q35" s="707" t="str">
        <f>IFERROR('2. Roles &amp; Pricing'!L189/40,"")</f>
        <v/>
      </c>
      <c r="R35" s="707" t="str">
        <f>IFERROR('2. Roles &amp; Pricing'!M189/40,"")</f>
        <v/>
      </c>
      <c r="S35" s="707" t="str">
        <f>IFERROR('2. Roles &amp; Pricing'!N189/40,"")</f>
        <v/>
      </c>
      <c r="T35" s="707" t="str">
        <f>IFERROR('2. Roles &amp; Pricing'!O189/40,"")</f>
        <v/>
      </c>
      <c r="U35" s="709" t="str">
        <f>IFERROR('2. Roles &amp; Pricing'!P189/40,"")</f>
        <v/>
      </c>
      <c r="V35" s="709" t="str">
        <f>IFERROR('2. Roles &amp; Pricing'!Q189/40,"")</f>
        <v/>
      </c>
      <c r="W35" s="709" t="str">
        <f>IFERROR('2. Roles &amp; Pricing'!R189/40,"")</f>
        <v/>
      </c>
      <c r="X35" s="708" t="str">
        <f>IFERROR('2. Roles &amp; Pricing'!S189/40,"")</f>
        <v/>
      </c>
      <c r="Y35" s="708" t="str">
        <f>IFERROR('2. Roles &amp; Pricing'!T189/40,"")</f>
        <v/>
      </c>
      <c r="Z35" s="708" t="str">
        <f>IFERROR('2. Roles &amp; Pricing'!U189/40,"")</f>
        <v/>
      </c>
      <c r="AA35" s="708" t="str">
        <f>IFERROR('2. Roles &amp; Pricing'!Y189/40,"")</f>
        <v/>
      </c>
      <c r="AB35" s="708" t="str">
        <f>IFERROR('2. Roles &amp; Pricing'!Z189/40,"")</f>
        <v/>
      </c>
      <c r="AC35" s="708" t="str">
        <f>IFERROR('2. Roles &amp; Pricing'!AA189/40,"")</f>
        <v/>
      </c>
      <c r="AD35" s="708" t="str">
        <f>IFERROR('2. Roles &amp; Pricing'!AB189/40,"")</f>
        <v/>
      </c>
      <c r="AE35" s="708" t="str">
        <f>IFERROR('2. Roles &amp; Pricing'!AG189/40,"")</f>
        <v/>
      </c>
      <c r="AF35" s="708" t="str">
        <f>IFERROR('2. Roles &amp; Pricing'!AH189/40,"")</f>
        <v/>
      </c>
      <c r="AG35" s="708" t="str">
        <f>IFERROR('2. Roles &amp; Pricing'!AI189/40,"")</f>
        <v/>
      </c>
      <c r="AH35" s="708" t="str">
        <f>IFERROR('2. Roles &amp; Pricing'!AJ189/40,"")</f>
        <v/>
      </c>
      <c r="AI35" s="708" t="str">
        <f>IFERROR('2. Roles &amp; Pricing'!AK189/40,"")</f>
        <v/>
      </c>
      <c r="AJ35" s="708" t="str">
        <f>IFERROR('2. Roles &amp; Pricing'!AL189/40,"")</f>
        <v/>
      </c>
      <c r="AK35" s="708" t="str">
        <f>IFERROR('2. Roles &amp; Pricing'!AM189/40,"")</f>
        <v/>
      </c>
      <c r="AL35" s="708" t="str">
        <f>IFERROR('2. Roles &amp; Pricing'!AN189/40,"")</f>
        <v/>
      </c>
      <c r="AM35" s="708" t="str">
        <f>IFERROR('2. Roles &amp; Pricing'!AO189/40,"")</f>
        <v/>
      </c>
      <c r="AN35" s="708" t="str">
        <f>IFERROR('2. Roles &amp; Pricing'!AP189/40,"")</f>
        <v/>
      </c>
      <c r="AO35" s="708" t="str">
        <f>IFERROR('2. Roles &amp; Pricing'!AQ189/40,"")</f>
        <v/>
      </c>
      <c r="AP35" s="708" t="str">
        <f>IFERROR('2. Roles &amp; Pricing'!AR189/40,"")</f>
        <v/>
      </c>
      <c r="AQ35" s="708" t="str">
        <f>IFERROR('2. Roles &amp; Pricing'!AS189/40,"")</f>
        <v/>
      </c>
      <c r="AR35" s="708" t="str">
        <f>IFERROR('2. Roles &amp; Pricing'!AT189/40,"")</f>
        <v/>
      </c>
      <c r="AS35" s="708" t="str">
        <f>IFERROR('2. Roles &amp; Pricing'!AU189/40,"")</f>
        <v/>
      </c>
      <c r="AT35" s="708" t="str">
        <f>IFERROR('2. Roles &amp; Pricing'!AV189/40,"")</f>
        <v/>
      </c>
      <c r="AU35" s="708" t="str">
        <f>IFERROR('2. Roles &amp; Pricing'!AW189/40,"")</f>
        <v/>
      </c>
      <c r="AV35" s="708" t="str">
        <f>IFERROR('2. Roles &amp; Pricing'!AX189/40,"")</f>
        <v/>
      </c>
      <c r="AW35" s="708" t="str">
        <f>IFERROR('2. Roles &amp; Pricing'!AY189/40,"")</f>
        <v/>
      </c>
      <c r="AX35" s="708" t="str">
        <f>IFERROR('2. Roles &amp; Pricing'!AZ189/40,"")</f>
        <v/>
      </c>
      <c r="AY35" s="708" t="str">
        <f>IFERROR('2. Roles &amp; Pricing'!BA189/40,"")</f>
        <v/>
      </c>
      <c r="AZ35" s="708" t="str">
        <f>IFERROR('2. Roles &amp; Pricing'!BB189/40,"")</f>
        <v/>
      </c>
      <c r="BA35" s="708" t="str">
        <f>IFERROR('2. Roles &amp; Pricing'!BC189/40,"")</f>
        <v/>
      </c>
      <c r="BB35" s="708" t="str">
        <f>IFERROR('2. Roles &amp; Pricing'!BD189/40,"")</f>
        <v/>
      </c>
      <c r="BC35" s="708" t="str">
        <f>IFERROR('2. Roles &amp; Pricing'!BE189/40,"")</f>
        <v/>
      </c>
      <c r="BD35" s="708" t="str">
        <f>IFERROR('2. Roles &amp; Pricing'!BF189/40,"")</f>
        <v/>
      </c>
      <c r="BE35" s="708" t="str">
        <f>IFERROR('2. Roles &amp; Pricing'!BG189/40,"")</f>
        <v/>
      </c>
      <c r="BF35" s="708" t="str">
        <f>IFERROR('2. Roles &amp; Pricing'!BH189/40,"")</f>
        <v/>
      </c>
      <c r="BG35" s="708" t="str">
        <f>IFERROR('2. Roles &amp; Pricing'!BI189/40,"")</f>
        <v/>
      </c>
      <c r="BH35" s="708" t="str">
        <f>IFERROR('2. Roles &amp; Pricing'!BJ189/40,"")</f>
        <v/>
      </c>
      <c r="BI35" s="708" t="str">
        <f>IFERROR('2. Roles &amp; Pricing'!BK189/40,"")</f>
        <v/>
      </c>
      <c r="BJ35" s="708" t="str">
        <f>IFERROR('2. Roles &amp; Pricing'!BL189/40,"")</f>
        <v/>
      </c>
      <c r="BK35" s="708" t="str">
        <f>IFERROR('2. Roles &amp; Pricing'!BM189/40,"")</f>
        <v/>
      </c>
      <c r="BL35" s="708" t="str">
        <f>IFERROR('2. Roles &amp; Pricing'!BN189/40,"")</f>
        <v/>
      </c>
      <c r="BM35" s="708" t="str">
        <f>IFERROR('2. Roles &amp; Pricing'!BO189/40,"")</f>
        <v/>
      </c>
      <c r="BN35" s="259"/>
      <c r="BO35" s="260" t="s">
        <v>13</v>
      </c>
      <c r="BR35" s="261"/>
      <c r="BS35" s="144"/>
      <c r="BT35" s="144"/>
      <c r="BU35" s="144"/>
    </row>
    <row r="36" spans="1:94" s="140" customFormat="1" ht="14.4" thickBot="1" x14ac:dyDescent="0.3">
      <c r="A36" s="141"/>
      <c r="B36" s="262"/>
      <c r="C36" s="262"/>
      <c r="D36" s="262"/>
      <c r="E36" s="262"/>
      <c r="F36" s="262"/>
      <c r="J36" s="147"/>
      <c r="K36" s="263"/>
      <c r="N36" s="264"/>
      <c r="O36" s="265"/>
      <c r="P36" s="265"/>
      <c r="Q36" s="266"/>
      <c r="R36" s="267"/>
      <c r="S36" s="266"/>
      <c r="T36" s="267"/>
      <c r="U36" s="266"/>
      <c r="V36" s="267"/>
      <c r="W36" s="266"/>
      <c r="X36" s="267"/>
      <c r="Y36" s="266"/>
      <c r="Z36" s="267"/>
      <c r="AA36" s="266"/>
      <c r="AB36" s="267"/>
      <c r="AC36" s="266"/>
      <c r="AD36" s="267"/>
      <c r="AE36" s="266"/>
      <c r="AF36" s="267"/>
      <c r="AG36" s="266"/>
      <c r="AH36" s="266"/>
      <c r="AI36" s="267"/>
      <c r="AJ36" s="266"/>
      <c r="AK36" s="267"/>
      <c r="AL36" s="266"/>
      <c r="AM36" s="267"/>
      <c r="AN36" s="266"/>
      <c r="AO36" s="267"/>
      <c r="AP36" s="266"/>
      <c r="AQ36" s="267"/>
      <c r="AR36" s="266"/>
      <c r="AS36" s="266"/>
      <c r="AT36" s="267"/>
      <c r="AU36" s="266"/>
      <c r="AV36" s="267"/>
      <c r="AW36" s="266"/>
      <c r="AX36" s="267"/>
      <c r="AY36" s="266"/>
      <c r="AZ36" s="267"/>
      <c r="BA36" s="266"/>
      <c r="BB36" s="267"/>
      <c r="BC36" s="266"/>
      <c r="BD36" s="267"/>
      <c r="BE36" s="266"/>
      <c r="BF36" s="267"/>
      <c r="BG36" s="266"/>
      <c r="BH36" s="267"/>
      <c r="BI36" s="266"/>
      <c r="BJ36" s="267"/>
      <c r="BK36" s="266"/>
      <c r="BL36" s="267"/>
      <c r="BM36" s="266"/>
      <c r="BN36" s="1772" t="s">
        <v>2021</v>
      </c>
      <c r="BO36" s="1773"/>
      <c r="BP36" s="864">
        <v>0</v>
      </c>
      <c r="BR36" s="141"/>
      <c r="BS36" s="146" t="s">
        <v>2022</v>
      </c>
      <c r="BT36" s="1622">
        <f>IF(H5="Fixed Price",'3. Financial Inputs'!C67,'3. Financial Inputs'!C65)</f>
        <v>0</v>
      </c>
      <c r="BU36" s="142" t="s">
        <v>2178</v>
      </c>
    </row>
    <row r="37" spans="1:94" s="140" customFormat="1" ht="14.4" thickBot="1" x14ac:dyDescent="0.3">
      <c r="A37" s="141"/>
      <c r="B37" s="262"/>
      <c r="C37" s="262"/>
      <c r="D37" s="262"/>
      <c r="E37" s="262"/>
      <c r="F37" s="262"/>
      <c r="J37" s="268" t="s">
        <v>2023</v>
      </c>
      <c r="N37" s="269"/>
      <c r="O37" s="142"/>
      <c r="P37" s="142"/>
      <c r="Q37" s="270"/>
      <c r="R37" s="271"/>
      <c r="S37" s="270"/>
      <c r="T37" s="271"/>
      <c r="U37" s="270"/>
      <c r="V37" s="271"/>
      <c r="W37" s="270"/>
      <c r="X37" s="271"/>
      <c r="Y37" s="270"/>
      <c r="Z37" s="271"/>
      <c r="AA37" s="270"/>
      <c r="AB37" s="271"/>
      <c r="AC37" s="270"/>
      <c r="AD37" s="271"/>
      <c r="AE37" s="270"/>
      <c r="AF37" s="271"/>
      <c r="AG37" s="270"/>
      <c r="AH37" s="270"/>
      <c r="AI37" s="271"/>
      <c r="AJ37" s="270"/>
      <c r="AK37" s="271"/>
      <c r="AL37" s="270"/>
      <c r="AM37" s="271"/>
      <c r="AN37" s="270"/>
      <c r="AO37" s="271"/>
      <c r="AP37" s="270"/>
      <c r="AQ37" s="271"/>
      <c r="AR37" s="270"/>
      <c r="AS37" s="270"/>
      <c r="AT37" s="271"/>
      <c r="AU37" s="270"/>
      <c r="AV37" s="271"/>
      <c r="AW37" s="270"/>
      <c r="AX37" s="271"/>
      <c r="AY37" s="270"/>
      <c r="AZ37" s="271"/>
      <c r="BA37" s="270"/>
      <c r="BB37" s="271"/>
      <c r="BC37" s="270"/>
      <c r="BD37" s="271"/>
      <c r="BE37" s="270"/>
      <c r="BF37" s="271"/>
      <c r="BG37" s="270"/>
      <c r="BH37" s="271"/>
      <c r="BI37" s="270"/>
      <c r="BJ37" s="271"/>
      <c r="BK37" s="270"/>
      <c r="BL37" s="271"/>
      <c r="BM37" s="270"/>
      <c r="BN37" s="1774" t="s">
        <v>2024</v>
      </c>
      <c r="BO37" s="1775"/>
      <c r="BP37" s="272">
        <f>+BP34-BP36</f>
        <v>898000</v>
      </c>
      <c r="BR37" s="141"/>
      <c r="BS37" s="145"/>
      <c r="BT37" s="142"/>
      <c r="BU37" s="142"/>
    </row>
    <row r="38" spans="1:94" s="140" customFormat="1" x14ac:dyDescent="0.25">
      <c r="A38" s="141"/>
      <c r="B38" s="262"/>
      <c r="C38" s="262"/>
      <c r="D38" s="262"/>
      <c r="E38" s="262"/>
      <c r="F38" s="262"/>
      <c r="J38" s="273" t="s">
        <v>180</v>
      </c>
      <c r="K38" s="147"/>
      <c r="N38" s="274">
        <f t="shared" ref="N38:AS38" si="52">SUMPRODUCT(N16:N33,$BS$16:$BS$33)*40</f>
        <v>28320</v>
      </c>
      <c r="O38" s="275">
        <f t="shared" si="52"/>
        <v>28320</v>
      </c>
      <c r="P38" s="276">
        <f t="shared" si="52"/>
        <v>28320</v>
      </c>
      <c r="Q38" s="277">
        <f t="shared" si="52"/>
        <v>28320</v>
      </c>
      <c r="R38" s="278">
        <f t="shared" si="52"/>
        <v>30520</v>
      </c>
      <c r="S38" s="277">
        <f t="shared" si="52"/>
        <v>30520</v>
      </c>
      <c r="T38" s="278">
        <f t="shared" si="52"/>
        <v>30520</v>
      </c>
      <c r="U38" s="277">
        <f t="shared" si="52"/>
        <v>30520</v>
      </c>
      <c r="V38" s="278">
        <f t="shared" si="52"/>
        <v>30520</v>
      </c>
      <c r="W38" s="277">
        <f t="shared" si="52"/>
        <v>30520</v>
      </c>
      <c r="X38" s="278">
        <f t="shared" si="52"/>
        <v>30520</v>
      </c>
      <c r="Y38" s="277">
        <f t="shared" si="52"/>
        <v>30520</v>
      </c>
      <c r="Z38" s="278">
        <f t="shared" si="52"/>
        <v>30520</v>
      </c>
      <c r="AA38" s="277">
        <f t="shared" si="52"/>
        <v>28320</v>
      </c>
      <c r="AB38" s="278">
        <f t="shared" si="52"/>
        <v>28320</v>
      </c>
      <c r="AC38" s="277">
        <f t="shared" si="52"/>
        <v>28320</v>
      </c>
      <c r="AD38" s="278">
        <f t="shared" si="52"/>
        <v>28320</v>
      </c>
      <c r="AE38" s="277">
        <f t="shared" si="52"/>
        <v>30520</v>
      </c>
      <c r="AF38" s="278">
        <f t="shared" si="52"/>
        <v>30520</v>
      </c>
      <c r="AG38" s="277">
        <f t="shared" si="52"/>
        <v>30520</v>
      </c>
      <c r="AH38" s="277">
        <f t="shared" si="52"/>
        <v>30520</v>
      </c>
      <c r="AI38" s="278">
        <f t="shared" si="52"/>
        <v>30520</v>
      </c>
      <c r="AJ38" s="277">
        <f t="shared" si="52"/>
        <v>30520</v>
      </c>
      <c r="AK38" s="278">
        <f t="shared" si="52"/>
        <v>30520</v>
      </c>
      <c r="AL38" s="277">
        <f t="shared" si="52"/>
        <v>30520</v>
      </c>
      <c r="AM38" s="278">
        <f t="shared" si="52"/>
        <v>30520</v>
      </c>
      <c r="AN38" s="277">
        <f t="shared" si="52"/>
        <v>30520</v>
      </c>
      <c r="AO38" s="278">
        <f t="shared" si="52"/>
        <v>30520</v>
      </c>
      <c r="AP38" s="277">
        <f t="shared" si="52"/>
        <v>30520</v>
      </c>
      <c r="AQ38" s="278">
        <f t="shared" si="52"/>
        <v>30520</v>
      </c>
      <c r="AR38" s="277">
        <f t="shared" si="52"/>
        <v>0</v>
      </c>
      <c r="AS38" s="277">
        <f t="shared" si="52"/>
        <v>0</v>
      </c>
      <c r="AT38" s="278">
        <f t="shared" ref="AT38:BM38" si="53">SUMPRODUCT(AT16:AT33,$BS$16:$BS$33)*40</f>
        <v>0</v>
      </c>
      <c r="AU38" s="277">
        <f t="shared" si="53"/>
        <v>0</v>
      </c>
      <c r="AV38" s="278">
        <f t="shared" si="53"/>
        <v>0</v>
      </c>
      <c r="AW38" s="277">
        <f t="shared" si="53"/>
        <v>0</v>
      </c>
      <c r="AX38" s="278">
        <f t="shared" si="53"/>
        <v>0</v>
      </c>
      <c r="AY38" s="277">
        <f t="shared" si="53"/>
        <v>0</v>
      </c>
      <c r="AZ38" s="278">
        <f t="shared" si="53"/>
        <v>0</v>
      </c>
      <c r="BA38" s="277">
        <f t="shared" si="53"/>
        <v>0</v>
      </c>
      <c r="BB38" s="278">
        <f t="shared" si="53"/>
        <v>0</v>
      </c>
      <c r="BC38" s="277">
        <f t="shared" si="53"/>
        <v>0</v>
      </c>
      <c r="BD38" s="278">
        <f t="shared" si="53"/>
        <v>0</v>
      </c>
      <c r="BE38" s="277">
        <f t="shared" si="53"/>
        <v>0</v>
      </c>
      <c r="BF38" s="278">
        <f t="shared" si="53"/>
        <v>0</v>
      </c>
      <c r="BG38" s="277">
        <f t="shared" si="53"/>
        <v>0</v>
      </c>
      <c r="BH38" s="278">
        <f t="shared" si="53"/>
        <v>0</v>
      </c>
      <c r="BI38" s="277">
        <f t="shared" si="53"/>
        <v>0</v>
      </c>
      <c r="BJ38" s="278">
        <f t="shared" si="53"/>
        <v>0</v>
      </c>
      <c r="BK38" s="277">
        <f t="shared" si="53"/>
        <v>0</v>
      </c>
      <c r="BL38" s="278">
        <f t="shared" si="53"/>
        <v>0</v>
      </c>
      <c r="BM38" s="277">
        <f t="shared" si="53"/>
        <v>0</v>
      </c>
      <c r="BN38" s="1776" t="s">
        <v>2025</v>
      </c>
      <c r="BO38" s="1777"/>
      <c r="BP38" s="279">
        <f>+BP37*1.4</f>
        <v>1257200</v>
      </c>
      <c r="BR38" s="141"/>
      <c r="BS38" s="280"/>
      <c r="BT38" s="281" t="s">
        <v>2026</v>
      </c>
      <c r="BU38" s="281" t="s">
        <v>2027</v>
      </c>
      <c r="BV38" s="281" t="s">
        <v>2028</v>
      </c>
    </row>
    <row r="39" spans="1:94" s="140" customFormat="1" ht="14.4" thickBot="1" x14ac:dyDescent="0.3">
      <c r="A39" s="141"/>
      <c r="B39" s="262"/>
      <c r="C39" s="262"/>
      <c r="D39" s="262"/>
      <c r="E39" s="262"/>
      <c r="F39" s="262"/>
      <c r="J39" s="273" t="s">
        <v>2029</v>
      </c>
      <c r="K39" s="147"/>
      <c r="N39" s="282">
        <f>SUM(N38)</f>
        <v>28320</v>
      </c>
      <c r="O39" s="1753">
        <f>SUM(O38:Q38)</f>
        <v>84960</v>
      </c>
      <c r="P39" s="1754"/>
      <c r="Q39" s="1755"/>
      <c r="R39" s="1756">
        <f>SUM(R38:S38)</f>
        <v>61040</v>
      </c>
      <c r="S39" s="1757"/>
      <c r="T39" s="1753">
        <f>SUM(T38:U38)</f>
        <v>61040</v>
      </c>
      <c r="U39" s="1755"/>
      <c r="V39" s="1756">
        <f>SUM(V38:AS38)</f>
        <v>662640</v>
      </c>
      <c r="W39" s="1758"/>
      <c r="X39" s="1758"/>
      <c r="Y39" s="1758"/>
      <c r="Z39" s="1758"/>
      <c r="AA39" s="1758"/>
      <c r="AB39" s="1758"/>
      <c r="AC39" s="1758"/>
      <c r="AD39" s="1758"/>
      <c r="AE39" s="1758"/>
      <c r="AF39" s="1758"/>
      <c r="AG39" s="1758"/>
      <c r="AH39" s="1758"/>
      <c r="AI39" s="1758"/>
      <c r="AJ39" s="1758"/>
      <c r="AK39" s="1758"/>
      <c r="AL39" s="1758"/>
      <c r="AM39" s="1758"/>
      <c r="AN39" s="1758"/>
      <c r="AO39" s="1758"/>
      <c r="AP39" s="1758"/>
      <c r="AQ39" s="1758"/>
      <c r="AR39" s="1758"/>
      <c r="AS39" s="1757"/>
      <c r="AT39" s="1753">
        <f>SUM(AT38:AU38)</f>
        <v>0</v>
      </c>
      <c r="AU39" s="1755"/>
      <c r="AV39" s="1756">
        <f>SUM(AV38:AW38)</f>
        <v>0</v>
      </c>
      <c r="AW39" s="1757"/>
      <c r="AX39" s="1753">
        <f>SUM(AX38:AY38)</f>
        <v>0</v>
      </c>
      <c r="AY39" s="1755"/>
      <c r="AZ39" s="1756">
        <f>SUM(AZ38:BA38)</f>
        <v>0</v>
      </c>
      <c r="BA39" s="1757"/>
      <c r="BB39" s="1753">
        <f>SUM(BB38:BC38)</f>
        <v>0</v>
      </c>
      <c r="BC39" s="1755"/>
      <c r="BD39" s="1753">
        <f>SUM(BD38:BE38)</f>
        <v>0</v>
      </c>
      <c r="BE39" s="1755"/>
      <c r="BF39" s="1756">
        <f>SUM(BF38:BG38)</f>
        <v>0</v>
      </c>
      <c r="BG39" s="1757"/>
      <c r="BH39" s="1753">
        <f>SUM(BH38:BI38)</f>
        <v>0</v>
      </c>
      <c r="BI39" s="1755"/>
      <c r="BJ39" s="1756">
        <f>SUM(BJ38:BK38)</f>
        <v>0</v>
      </c>
      <c r="BK39" s="1757"/>
      <c r="BL39" s="1753">
        <f>SUM(BL38:BM38)</f>
        <v>0</v>
      </c>
      <c r="BM39" s="1755"/>
      <c r="BN39" s="1778" t="s">
        <v>2030</v>
      </c>
      <c r="BO39" s="1779"/>
      <c r="BP39" s="283">
        <f>+BP37*1.2</f>
        <v>1077600</v>
      </c>
      <c r="BR39" s="141"/>
      <c r="BS39" s="284" t="s">
        <v>2031</v>
      </c>
      <c r="BT39" s="285">
        <f>BP37-BP36</f>
        <v>898000</v>
      </c>
      <c r="BU39" s="286">
        <f>(BT39-BQ34)/BT39</f>
        <v>1</v>
      </c>
      <c r="BV39" s="285">
        <f>BT39/BU34</f>
        <v>106.39810426540285</v>
      </c>
    </row>
    <row r="40" spans="1:94" s="140" customFormat="1" ht="14.4" thickBot="1" x14ac:dyDescent="0.3">
      <c r="A40" s="141"/>
      <c r="B40" s="262"/>
      <c r="C40" s="262"/>
      <c r="D40" s="262"/>
      <c r="E40" s="262"/>
      <c r="F40" s="262"/>
      <c r="J40" s="287" t="s">
        <v>2032</v>
      </c>
      <c r="K40" s="147"/>
      <c r="N40" s="1766">
        <f>SUM(N38:Q38)</f>
        <v>113280</v>
      </c>
      <c r="O40" s="1767"/>
      <c r="P40" s="1767"/>
      <c r="Q40" s="1767"/>
      <c r="R40" s="1768">
        <f>SUM(R38:U38)</f>
        <v>122080</v>
      </c>
      <c r="S40" s="1769"/>
      <c r="T40" s="1769"/>
      <c r="U40" s="1769"/>
      <c r="V40" s="1766">
        <f>SUM(V38:BE38)</f>
        <v>662640</v>
      </c>
      <c r="W40" s="1767"/>
      <c r="X40" s="1767"/>
      <c r="Y40" s="1767"/>
      <c r="Z40" s="1767"/>
      <c r="AA40" s="1767"/>
      <c r="AB40" s="1767"/>
      <c r="AC40" s="1767"/>
      <c r="AD40" s="1767"/>
      <c r="AE40" s="1767"/>
      <c r="AF40" s="1767"/>
      <c r="AG40" s="1767"/>
      <c r="AH40" s="1767"/>
      <c r="AI40" s="1767"/>
      <c r="AJ40" s="1767"/>
      <c r="AK40" s="1767"/>
      <c r="AL40" s="1767"/>
      <c r="AM40" s="1767"/>
      <c r="AN40" s="1767"/>
      <c r="AO40" s="1767"/>
      <c r="AP40" s="1767"/>
      <c r="AQ40" s="1767"/>
      <c r="AR40" s="1767"/>
      <c r="AS40" s="1767"/>
      <c r="AT40" s="1767"/>
      <c r="AU40" s="1767"/>
      <c r="AV40" s="1767"/>
      <c r="AW40" s="1767"/>
      <c r="AX40" s="1767"/>
      <c r="AY40" s="1767"/>
      <c r="AZ40" s="1767"/>
      <c r="BA40" s="1767"/>
      <c r="BB40" s="1767"/>
      <c r="BC40" s="1767"/>
      <c r="BD40" s="1767"/>
      <c r="BE40" s="1767"/>
      <c r="BF40" s="1768">
        <f>SUM(BF38:BI38)</f>
        <v>0</v>
      </c>
      <c r="BG40" s="1769"/>
      <c r="BH40" s="1769"/>
      <c r="BI40" s="1769"/>
      <c r="BJ40" s="1766">
        <f>SUM(BJ38:BM38)</f>
        <v>0</v>
      </c>
      <c r="BK40" s="1767"/>
      <c r="BL40" s="1767"/>
      <c r="BM40" s="1767"/>
      <c r="BN40" s="1762" t="s">
        <v>2033</v>
      </c>
      <c r="BO40" s="1763"/>
      <c r="BP40" s="288">
        <f>+BP37*1.3</f>
        <v>1167400</v>
      </c>
      <c r="BR40" s="141"/>
      <c r="BS40" s="289" t="s">
        <v>2034</v>
      </c>
      <c r="BT40" s="290">
        <f>BT34-BT36</f>
        <v>898000</v>
      </c>
      <c r="BU40" s="291">
        <f>(BT40-BQ34)/BT40</f>
        <v>1</v>
      </c>
      <c r="BV40" s="290">
        <f>BT40/BU34</f>
        <v>106.39810426540285</v>
      </c>
    </row>
    <row r="41" spans="1:94" s="140" customFormat="1" ht="14.4" thickBot="1" x14ac:dyDescent="0.3">
      <c r="A41" s="141"/>
      <c r="B41" s="262"/>
      <c r="C41" s="262"/>
      <c r="D41" s="262"/>
      <c r="E41" s="262"/>
      <c r="F41" s="262"/>
      <c r="K41" s="147"/>
      <c r="N41" s="148"/>
      <c r="O41" s="148"/>
      <c r="P41" s="148"/>
      <c r="Q41" s="148"/>
      <c r="R41" s="148"/>
      <c r="S41" s="148"/>
      <c r="T41" s="148"/>
      <c r="U41" s="68"/>
      <c r="V41" s="68"/>
      <c r="W41" s="68"/>
      <c r="X41" s="148"/>
      <c r="Y41" s="148"/>
      <c r="Z41" s="148"/>
      <c r="AA41" s="68"/>
      <c r="AB41" s="68"/>
      <c r="AC41" s="68"/>
      <c r="AD41" s="68"/>
      <c r="AE41" s="68"/>
      <c r="AF41" s="68"/>
      <c r="AG41" s="68"/>
      <c r="AH41" s="68"/>
      <c r="AI41" s="148"/>
      <c r="AJ41" s="148"/>
      <c r="AK41" s="148"/>
      <c r="AL41" s="68"/>
      <c r="AM41" s="68"/>
      <c r="AN41" s="68"/>
      <c r="AO41" s="68"/>
      <c r="AP41" s="68"/>
      <c r="AQ41" s="68"/>
      <c r="AR41" s="68"/>
      <c r="AS41" s="68"/>
      <c r="AT41" s="148"/>
      <c r="AU41" s="148"/>
      <c r="AV41" s="148"/>
      <c r="AW41" s="68"/>
      <c r="AX41" s="68"/>
      <c r="AY41" s="68"/>
      <c r="AZ41" s="68"/>
      <c r="BA41" s="68"/>
      <c r="BB41" s="68"/>
      <c r="BC41" s="68"/>
      <c r="BD41" s="148"/>
      <c r="BE41" s="148"/>
      <c r="BF41" s="148"/>
      <c r="BG41" s="68"/>
      <c r="BH41" s="68"/>
      <c r="BI41" s="68"/>
      <c r="BJ41" s="68"/>
      <c r="BK41" s="68"/>
      <c r="BL41" s="68"/>
      <c r="BM41" s="68"/>
      <c r="BR41" s="141"/>
      <c r="BS41" s="284" t="s">
        <v>2035</v>
      </c>
      <c r="BT41" s="285">
        <f>BQ34/(1-BU41)</f>
        <v>0</v>
      </c>
      <c r="BU41" s="292">
        <v>0.55000000000000004</v>
      </c>
      <c r="BV41" s="285">
        <f>BT41/BU34</f>
        <v>0</v>
      </c>
      <c r="BW41" s="140" t="s">
        <v>2036</v>
      </c>
    </row>
    <row r="42" spans="1:94" s="140" customFormat="1" ht="14.4" thickBot="1" x14ac:dyDescent="0.3">
      <c r="A42" s="141"/>
      <c r="B42" s="262"/>
      <c r="C42" s="262"/>
      <c r="D42" s="262"/>
      <c r="E42" s="262"/>
      <c r="F42" s="262"/>
      <c r="J42" s="268" t="s">
        <v>2037</v>
      </c>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1764" t="s">
        <v>2038</v>
      </c>
      <c r="BO42" s="1765"/>
      <c r="BP42" s="293">
        <f>BT34</f>
        <v>898000</v>
      </c>
      <c r="BQ42" s="294" t="s">
        <v>2039</v>
      </c>
      <c r="BR42" s="141"/>
    </row>
    <row r="43" spans="1:94" x14ac:dyDescent="0.25">
      <c r="J43" s="273" t="s">
        <v>180</v>
      </c>
      <c r="N43" s="274">
        <f t="shared" ref="N43:AS43" si="54">SUMPRODUCT(N16:N33,$BS$16:$BS$33)*40*1.2</f>
        <v>33984</v>
      </c>
      <c r="O43" s="278">
        <f t="shared" si="54"/>
        <v>33984</v>
      </c>
      <c r="P43" s="276">
        <f t="shared" si="54"/>
        <v>33984</v>
      </c>
      <c r="Q43" s="277">
        <f t="shared" si="54"/>
        <v>33984</v>
      </c>
      <c r="R43" s="278">
        <f t="shared" si="54"/>
        <v>36624</v>
      </c>
      <c r="S43" s="277">
        <f t="shared" si="54"/>
        <v>36624</v>
      </c>
      <c r="T43" s="278">
        <f t="shared" si="54"/>
        <v>36624</v>
      </c>
      <c r="U43" s="277">
        <f t="shared" si="54"/>
        <v>36624</v>
      </c>
      <c r="V43" s="278">
        <f t="shared" si="54"/>
        <v>36624</v>
      </c>
      <c r="W43" s="277">
        <f t="shared" si="54"/>
        <v>36624</v>
      </c>
      <c r="X43" s="278">
        <f t="shared" si="54"/>
        <v>36624</v>
      </c>
      <c r="Y43" s="277">
        <f t="shared" si="54"/>
        <v>36624</v>
      </c>
      <c r="Z43" s="278">
        <f t="shared" si="54"/>
        <v>36624</v>
      </c>
      <c r="AA43" s="277">
        <f t="shared" si="54"/>
        <v>33984</v>
      </c>
      <c r="AB43" s="278">
        <f t="shared" si="54"/>
        <v>33984</v>
      </c>
      <c r="AC43" s="277">
        <f t="shared" si="54"/>
        <v>33984</v>
      </c>
      <c r="AD43" s="278">
        <f t="shared" si="54"/>
        <v>33984</v>
      </c>
      <c r="AE43" s="277">
        <f t="shared" si="54"/>
        <v>36624</v>
      </c>
      <c r="AF43" s="278">
        <f t="shared" si="54"/>
        <v>36624</v>
      </c>
      <c r="AG43" s="277">
        <f t="shared" si="54"/>
        <v>36624</v>
      </c>
      <c r="AH43" s="277">
        <f t="shared" si="54"/>
        <v>36624</v>
      </c>
      <c r="AI43" s="278">
        <f t="shared" si="54"/>
        <v>36624</v>
      </c>
      <c r="AJ43" s="277">
        <f t="shared" si="54"/>
        <v>36624</v>
      </c>
      <c r="AK43" s="278">
        <f t="shared" si="54"/>
        <v>36624</v>
      </c>
      <c r="AL43" s="277">
        <f t="shared" si="54"/>
        <v>36624</v>
      </c>
      <c r="AM43" s="278">
        <f t="shared" si="54"/>
        <v>36624</v>
      </c>
      <c r="AN43" s="277">
        <f t="shared" si="54"/>
        <v>36624</v>
      </c>
      <c r="AO43" s="278">
        <f t="shared" si="54"/>
        <v>36624</v>
      </c>
      <c r="AP43" s="277">
        <f t="shared" si="54"/>
        <v>36624</v>
      </c>
      <c r="AQ43" s="278">
        <f t="shared" si="54"/>
        <v>36624</v>
      </c>
      <c r="AR43" s="277">
        <f t="shared" si="54"/>
        <v>0</v>
      </c>
      <c r="AS43" s="277">
        <f t="shared" si="54"/>
        <v>0</v>
      </c>
      <c r="AT43" s="278">
        <f t="shared" ref="AT43:BM43" si="55">SUMPRODUCT(AT16:AT33,$BS$16:$BS$33)*40*1.2</f>
        <v>0</v>
      </c>
      <c r="AU43" s="277">
        <f t="shared" si="55"/>
        <v>0</v>
      </c>
      <c r="AV43" s="278">
        <f t="shared" si="55"/>
        <v>0</v>
      </c>
      <c r="AW43" s="277">
        <f t="shared" si="55"/>
        <v>0</v>
      </c>
      <c r="AX43" s="278">
        <f t="shared" si="55"/>
        <v>0</v>
      </c>
      <c r="AY43" s="277">
        <f t="shared" si="55"/>
        <v>0</v>
      </c>
      <c r="AZ43" s="278">
        <f t="shared" si="55"/>
        <v>0</v>
      </c>
      <c r="BA43" s="277">
        <f t="shared" si="55"/>
        <v>0</v>
      </c>
      <c r="BB43" s="278">
        <f t="shared" si="55"/>
        <v>0</v>
      </c>
      <c r="BC43" s="277">
        <f t="shared" si="55"/>
        <v>0</v>
      </c>
      <c r="BD43" s="278">
        <f t="shared" si="55"/>
        <v>0</v>
      </c>
      <c r="BE43" s="277">
        <f t="shared" si="55"/>
        <v>0</v>
      </c>
      <c r="BF43" s="278">
        <f t="shared" si="55"/>
        <v>0</v>
      </c>
      <c r="BG43" s="277">
        <f t="shared" si="55"/>
        <v>0</v>
      </c>
      <c r="BH43" s="278">
        <f t="shared" si="55"/>
        <v>0</v>
      </c>
      <c r="BI43" s="277">
        <f t="shared" si="55"/>
        <v>0</v>
      </c>
      <c r="BJ43" s="278">
        <f t="shared" si="55"/>
        <v>0</v>
      </c>
      <c r="BK43" s="277">
        <f t="shared" si="55"/>
        <v>0</v>
      </c>
      <c r="BL43" s="278">
        <f t="shared" si="55"/>
        <v>0</v>
      </c>
      <c r="BM43" s="277">
        <f t="shared" si="55"/>
        <v>0</v>
      </c>
      <c r="BN43" s="1747" t="s">
        <v>2040</v>
      </c>
      <c r="BO43" s="1748"/>
      <c r="BP43" s="295"/>
      <c r="BT43" s="281" t="s">
        <v>2041</v>
      </c>
      <c r="BU43" s="281" t="s">
        <v>2042</v>
      </c>
      <c r="BV43" s="281" t="s">
        <v>2028</v>
      </c>
      <c r="BW43" s="296" t="s">
        <v>2043</v>
      </c>
    </row>
    <row r="44" spans="1:94" ht="14.4" thickBot="1" x14ac:dyDescent="0.3">
      <c r="J44" s="273" t="s">
        <v>2029</v>
      </c>
      <c r="N44" s="282">
        <f>SUM(N43)</f>
        <v>33984</v>
      </c>
      <c r="O44" s="1753">
        <f>SUM(O43:Q43)</f>
        <v>101952</v>
      </c>
      <c r="P44" s="1754"/>
      <c r="Q44" s="1755"/>
      <c r="R44" s="1756">
        <f>SUM(R43:S43)</f>
        <v>73248</v>
      </c>
      <c r="S44" s="1757"/>
      <c r="T44" s="1753">
        <f>SUM(T43:U43)</f>
        <v>73248</v>
      </c>
      <c r="U44" s="1755"/>
      <c r="V44" s="1756">
        <f>SUM(V43:AS43)</f>
        <v>795168</v>
      </c>
      <c r="W44" s="1758"/>
      <c r="X44" s="1758"/>
      <c r="Y44" s="1758"/>
      <c r="Z44" s="1758"/>
      <c r="AA44" s="1758"/>
      <c r="AB44" s="1758"/>
      <c r="AC44" s="1758"/>
      <c r="AD44" s="1758"/>
      <c r="AE44" s="1758"/>
      <c r="AF44" s="1758"/>
      <c r="AG44" s="1758"/>
      <c r="AH44" s="1758"/>
      <c r="AI44" s="1758"/>
      <c r="AJ44" s="1758"/>
      <c r="AK44" s="1758"/>
      <c r="AL44" s="1758"/>
      <c r="AM44" s="1758"/>
      <c r="AN44" s="1758"/>
      <c r="AO44" s="1758"/>
      <c r="AP44" s="1758"/>
      <c r="AQ44" s="1758"/>
      <c r="AR44" s="1758"/>
      <c r="AS44" s="1757"/>
      <c r="AT44" s="1753">
        <f>SUM(AT43:AU43)</f>
        <v>0</v>
      </c>
      <c r="AU44" s="1755"/>
      <c r="AV44" s="1756">
        <f>SUM(AV43:AW43)</f>
        <v>0</v>
      </c>
      <c r="AW44" s="1757"/>
      <c r="AX44" s="1753">
        <f>SUM(AX43:AY43)</f>
        <v>0</v>
      </c>
      <c r="AY44" s="1755"/>
      <c r="AZ44" s="1756">
        <f>SUM(AZ43:BA43)</f>
        <v>0</v>
      </c>
      <c r="BA44" s="1757"/>
      <c r="BB44" s="1753">
        <f>SUM(BB43:BC43)</f>
        <v>0</v>
      </c>
      <c r="BC44" s="1755"/>
      <c r="BD44" s="1753">
        <f>SUM(BD43:BE43)</f>
        <v>0</v>
      </c>
      <c r="BE44" s="1755"/>
      <c r="BF44" s="1756">
        <f>SUM(BF43:BG43)</f>
        <v>0</v>
      </c>
      <c r="BG44" s="1757"/>
      <c r="BH44" s="1753">
        <f>SUM(BH43:BI43)</f>
        <v>0</v>
      </c>
      <c r="BI44" s="1755"/>
      <c r="BJ44" s="1756">
        <f>SUM(BJ43:BK43)</f>
        <v>0</v>
      </c>
      <c r="BK44" s="1757"/>
      <c r="BL44" s="1753">
        <f>SUM(BL43:BM43)</f>
        <v>0</v>
      </c>
      <c r="BM44" s="1755"/>
      <c r="BN44" s="1747" t="s">
        <v>218</v>
      </c>
      <c r="BO44" s="1748"/>
      <c r="BP44" s="295"/>
      <c r="BS44" s="284" t="s">
        <v>2031</v>
      </c>
      <c r="BT44" s="285">
        <f>BP39-BP36</f>
        <v>1077600</v>
      </c>
      <c r="BU44" s="286">
        <f>(BT44-BQ34)/BT44</f>
        <v>1</v>
      </c>
      <c r="BV44" s="285">
        <f>BT44/BU34</f>
        <v>127.67772511848341</v>
      </c>
    </row>
    <row r="45" spans="1:94" ht="14.4" thickBot="1" x14ac:dyDescent="0.3">
      <c r="J45" s="287" t="s">
        <v>2032</v>
      </c>
      <c r="N45" s="1744">
        <f>SUM(N43:Q43)</f>
        <v>135936</v>
      </c>
      <c r="O45" s="1745"/>
      <c r="P45" s="1745"/>
      <c r="Q45" s="1746"/>
      <c r="R45" s="1759">
        <f t="shared" ref="R45" si="56">SUM(R43:U43)</f>
        <v>146496</v>
      </c>
      <c r="S45" s="1760"/>
      <c r="T45" s="1760"/>
      <c r="U45" s="1761"/>
      <c r="V45" s="1744">
        <f t="shared" ref="V45" si="57">SUM(V43:BE43)</f>
        <v>795168</v>
      </c>
      <c r="W45" s="1745"/>
      <c r="X45" s="1745"/>
      <c r="Y45" s="1745"/>
      <c r="Z45" s="1745"/>
      <c r="AA45" s="1745"/>
      <c r="AB45" s="1745"/>
      <c r="AC45" s="1745"/>
      <c r="AD45" s="1745"/>
      <c r="AE45" s="1745"/>
      <c r="AF45" s="1745"/>
      <c r="AG45" s="1745"/>
      <c r="AH45" s="1745"/>
      <c r="AI45" s="1745"/>
      <c r="AJ45" s="1745"/>
      <c r="AK45" s="1745"/>
      <c r="AL45" s="1745"/>
      <c r="AM45" s="1745"/>
      <c r="AN45" s="1745"/>
      <c r="AO45" s="1745"/>
      <c r="AP45" s="1745"/>
      <c r="AQ45" s="1745"/>
      <c r="AR45" s="1745"/>
      <c r="AS45" s="1745"/>
      <c r="AT45" s="1745"/>
      <c r="AU45" s="1745"/>
      <c r="AV45" s="1745"/>
      <c r="AW45" s="1745"/>
      <c r="AX45" s="1745"/>
      <c r="AY45" s="1745"/>
      <c r="AZ45" s="1745"/>
      <c r="BA45" s="1745"/>
      <c r="BB45" s="1745"/>
      <c r="BC45" s="1745"/>
      <c r="BD45" s="1745"/>
      <c r="BE45" s="1746"/>
      <c r="BF45" s="1759">
        <f t="shared" ref="BF45" si="58">SUM(BF43:BI43)</f>
        <v>0</v>
      </c>
      <c r="BG45" s="1760"/>
      <c r="BH45" s="1760"/>
      <c r="BI45" s="1761"/>
      <c r="BJ45" s="1744">
        <f t="shared" ref="BJ45" si="59">SUM(BJ43:BM43)</f>
        <v>0</v>
      </c>
      <c r="BK45" s="1745"/>
      <c r="BL45" s="1745"/>
      <c r="BM45" s="1746"/>
      <c r="BN45" s="1747" t="s">
        <v>219</v>
      </c>
      <c r="BO45" s="1748"/>
      <c r="BP45" s="295"/>
      <c r="BS45" s="289" t="s">
        <v>2034</v>
      </c>
      <c r="BT45" s="290">
        <f>(BT34-BT36)*1.2</f>
        <v>1077600</v>
      </c>
      <c r="BU45" s="291">
        <f>(BT45-BQ34)/BT45</f>
        <v>1</v>
      </c>
      <c r="BV45" s="290">
        <f>BT45/BU34</f>
        <v>127.67772511848341</v>
      </c>
    </row>
    <row r="46" spans="1:94" ht="14.4" thickBot="1" x14ac:dyDescent="0.3">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1751" t="s">
        <v>2044</v>
      </c>
      <c r="BO46" s="1752"/>
      <c r="BP46" s="295"/>
      <c r="BS46" s="284" t="s">
        <v>2035</v>
      </c>
      <c r="BT46" s="285">
        <f>BQ34/(1-BU46)</f>
        <v>0</v>
      </c>
      <c r="BU46" s="292">
        <v>0.5</v>
      </c>
      <c r="BV46" s="285">
        <f>BT46/BU34</f>
        <v>0</v>
      </c>
      <c r="BW46" s="140" t="s">
        <v>2036</v>
      </c>
    </row>
    <row r="47" spans="1:94" ht="14.4" thickBot="1" x14ac:dyDescent="0.3">
      <c r="J47" s="268" t="s">
        <v>2045</v>
      </c>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297"/>
      <c r="BO47" s="298"/>
      <c r="BP47" s="299"/>
      <c r="BQ47" s="300" t="s">
        <v>2046</v>
      </c>
    </row>
    <row r="48" spans="1:94" x14ac:dyDescent="0.25">
      <c r="J48" s="273" t="s">
        <v>180</v>
      </c>
      <c r="N48" s="274">
        <f t="shared" ref="N48:AS48" si="60">SUMPRODUCT(N16:N33,$BS$16:$BS$33)*40*1.3</f>
        <v>36816</v>
      </c>
      <c r="O48" s="278">
        <f t="shared" si="60"/>
        <v>36816</v>
      </c>
      <c r="P48" s="276">
        <f t="shared" si="60"/>
        <v>36816</v>
      </c>
      <c r="Q48" s="277">
        <f t="shared" si="60"/>
        <v>36816</v>
      </c>
      <c r="R48" s="278">
        <f t="shared" si="60"/>
        <v>39676</v>
      </c>
      <c r="S48" s="277">
        <f t="shared" si="60"/>
        <v>39676</v>
      </c>
      <c r="T48" s="278">
        <f t="shared" si="60"/>
        <v>39676</v>
      </c>
      <c r="U48" s="277">
        <f t="shared" si="60"/>
        <v>39676</v>
      </c>
      <c r="V48" s="278">
        <f t="shared" si="60"/>
        <v>39676</v>
      </c>
      <c r="W48" s="277">
        <f t="shared" si="60"/>
        <v>39676</v>
      </c>
      <c r="X48" s="278">
        <f t="shared" si="60"/>
        <v>39676</v>
      </c>
      <c r="Y48" s="277">
        <f t="shared" si="60"/>
        <v>39676</v>
      </c>
      <c r="Z48" s="278">
        <f t="shared" si="60"/>
        <v>39676</v>
      </c>
      <c r="AA48" s="277">
        <f t="shared" si="60"/>
        <v>36816</v>
      </c>
      <c r="AB48" s="278">
        <f t="shared" si="60"/>
        <v>36816</v>
      </c>
      <c r="AC48" s="277">
        <f t="shared" si="60"/>
        <v>36816</v>
      </c>
      <c r="AD48" s="278">
        <f t="shared" si="60"/>
        <v>36816</v>
      </c>
      <c r="AE48" s="277">
        <f t="shared" si="60"/>
        <v>39676</v>
      </c>
      <c r="AF48" s="278">
        <f t="shared" si="60"/>
        <v>39676</v>
      </c>
      <c r="AG48" s="277">
        <f t="shared" si="60"/>
        <v>39676</v>
      </c>
      <c r="AH48" s="277">
        <f t="shared" si="60"/>
        <v>39676</v>
      </c>
      <c r="AI48" s="278">
        <f t="shared" si="60"/>
        <v>39676</v>
      </c>
      <c r="AJ48" s="277">
        <f t="shared" si="60"/>
        <v>39676</v>
      </c>
      <c r="AK48" s="278">
        <f t="shared" si="60"/>
        <v>39676</v>
      </c>
      <c r="AL48" s="277">
        <f t="shared" si="60"/>
        <v>39676</v>
      </c>
      <c r="AM48" s="278">
        <f t="shared" si="60"/>
        <v>39676</v>
      </c>
      <c r="AN48" s="277">
        <f t="shared" si="60"/>
        <v>39676</v>
      </c>
      <c r="AO48" s="278">
        <f t="shared" si="60"/>
        <v>39676</v>
      </c>
      <c r="AP48" s="277">
        <f t="shared" si="60"/>
        <v>39676</v>
      </c>
      <c r="AQ48" s="278">
        <f t="shared" si="60"/>
        <v>39676</v>
      </c>
      <c r="AR48" s="277">
        <f t="shared" si="60"/>
        <v>0</v>
      </c>
      <c r="AS48" s="277">
        <f t="shared" si="60"/>
        <v>0</v>
      </c>
      <c r="AT48" s="278">
        <f t="shared" ref="AT48:BM48" si="61">SUMPRODUCT(AT16:AT33,$BS$16:$BS$33)*40*1.3</f>
        <v>0</v>
      </c>
      <c r="AU48" s="277">
        <f t="shared" si="61"/>
        <v>0</v>
      </c>
      <c r="AV48" s="278">
        <f t="shared" si="61"/>
        <v>0</v>
      </c>
      <c r="AW48" s="277">
        <f t="shared" si="61"/>
        <v>0</v>
      </c>
      <c r="AX48" s="278">
        <f t="shared" si="61"/>
        <v>0</v>
      </c>
      <c r="AY48" s="277">
        <f t="shared" si="61"/>
        <v>0</v>
      </c>
      <c r="AZ48" s="278">
        <f t="shared" si="61"/>
        <v>0</v>
      </c>
      <c r="BA48" s="277">
        <f t="shared" si="61"/>
        <v>0</v>
      </c>
      <c r="BB48" s="278">
        <f t="shared" si="61"/>
        <v>0</v>
      </c>
      <c r="BC48" s="277">
        <f t="shared" si="61"/>
        <v>0</v>
      </c>
      <c r="BD48" s="278">
        <f t="shared" si="61"/>
        <v>0</v>
      </c>
      <c r="BE48" s="277">
        <f t="shared" si="61"/>
        <v>0</v>
      </c>
      <c r="BF48" s="278">
        <f t="shared" si="61"/>
        <v>0</v>
      </c>
      <c r="BG48" s="277">
        <f t="shared" si="61"/>
        <v>0</v>
      </c>
      <c r="BH48" s="278">
        <f t="shared" si="61"/>
        <v>0</v>
      </c>
      <c r="BI48" s="277">
        <f t="shared" si="61"/>
        <v>0</v>
      </c>
      <c r="BJ48" s="278">
        <f t="shared" si="61"/>
        <v>0</v>
      </c>
      <c r="BK48" s="277">
        <f t="shared" si="61"/>
        <v>0</v>
      </c>
      <c r="BL48" s="278">
        <f t="shared" si="61"/>
        <v>0</v>
      </c>
      <c r="BM48" s="277">
        <f t="shared" si="61"/>
        <v>0</v>
      </c>
      <c r="BN48" s="297"/>
      <c r="BO48" s="298"/>
      <c r="BP48" s="299"/>
    </row>
    <row r="49" spans="1:68" ht="14.4" thickBot="1" x14ac:dyDescent="0.3">
      <c r="J49" s="273" t="s">
        <v>2029</v>
      </c>
      <c r="N49" s="282">
        <f>SUM(N48)</f>
        <v>36816</v>
      </c>
      <c r="O49" s="1753">
        <f>SUM(O48:Q48)</f>
        <v>110448</v>
      </c>
      <c r="P49" s="1754"/>
      <c r="Q49" s="1755"/>
      <c r="R49" s="1756">
        <f>SUM(R48:S48)</f>
        <v>79352</v>
      </c>
      <c r="S49" s="1757"/>
      <c r="T49" s="1753">
        <f>SUM(T48:U48)</f>
        <v>79352</v>
      </c>
      <c r="U49" s="1755"/>
      <c r="V49" s="1756">
        <f>SUM(V48:AS48)</f>
        <v>861432</v>
      </c>
      <c r="W49" s="1758"/>
      <c r="X49" s="1758"/>
      <c r="Y49" s="1758"/>
      <c r="Z49" s="1758"/>
      <c r="AA49" s="1758"/>
      <c r="AB49" s="1758"/>
      <c r="AC49" s="1758"/>
      <c r="AD49" s="1758"/>
      <c r="AE49" s="1758"/>
      <c r="AF49" s="1758"/>
      <c r="AG49" s="1758"/>
      <c r="AH49" s="1758"/>
      <c r="AI49" s="1758"/>
      <c r="AJ49" s="1758"/>
      <c r="AK49" s="1758"/>
      <c r="AL49" s="1758"/>
      <c r="AM49" s="1758"/>
      <c r="AN49" s="1758"/>
      <c r="AO49" s="1758"/>
      <c r="AP49" s="1758"/>
      <c r="AQ49" s="1758"/>
      <c r="AR49" s="1758"/>
      <c r="AS49" s="1757"/>
      <c r="AT49" s="1753">
        <f>SUM(AT48:AU48)</f>
        <v>0</v>
      </c>
      <c r="AU49" s="1755"/>
      <c r="AV49" s="1756">
        <f>SUM(AV48:AW48)</f>
        <v>0</v>
      </c>
      <c r="AW49" s="1757"/>
      <c r="AX49" s="1753">
        <f>SUM(AX48:AY48)</f>
        <v>0</v>
      </c>
      <c r="AY49" s="1755"/>
      <c r="AZ49" s="1756">
        <f>SUM(AZ48:BA48)</f>
        <v>0</v>
      </c>
      <c r="BA49" s="1757"/>
      <c r="BB49" s="1753">
        <f>SUM(BB48:BC48)</f>
        <v>0</v>
      </c>
      <c r="BC49" s="1755"/>
      <c r="BD49" s="1753">
        <f>SUM(BD48:BE48)</f>
        <v>0</v>
      </c>
      <c r="BE49" s="1755"/>
      <c r="BF49" s="1756">
        <f>SUM(BF48:BG48)</f>
        <v>0</v>
      </c>
      <c r="BG49" s="1757"/>
      <c r="BH49" s="1753">
        <f>SUM(BH48:BI48)</f>
        <v>0</v>
      </c>
      <c r="BI49" s="1755"/>
      <c r="BJ49" s="1756">
        <f>SUM(BJ48:BK48)</f>
        <v>0</v>
      </c>
      <c r="BK49" s="1757"/>
      <c r="BL49" s="1753">
        <f>SUM(BL48:BM48)</f>
        <v>0</v>
      </c>
      <c r="BM49" s="1755"/>
      <c r="BN49" s="297"/>
      <c r="BO49" s="298"/>
      <c r="BP49" s="299"/>
    </row>
    <row r="50" spans="1:68" ht="14.4" thickBot="1" x14ac:dyDescent="0.3">
      <c r="J50" s="287" t="s">
        <v>2032</v>
      </c>
      <c r="N50" s="1744">
        <f>SUM(N48:Q48)</f>
        <v>147264</v>
      </c>
      <c r="O50" s="1745"/>
      <c r="P50" s="1745"/>
      <c r="Q50" s="1746"/>
      <c r="R50" s="1759">
        <f>SUM(R48:U48)</f>
        <v>158704</v>
      </c>
      <c r="S50" s="1760"/>
      <c r="T50" s="1760"/>
      <c r="U50" s="1761"/>
      <c r="V50" s="1744">
        <f t="shared" ref="V50" si="62">SUM(V48:BE48)</f>
        <v>861432</v>
      </c>
      <c r="W50" s="1745"/>
      <c r="X50" s="1745"/>
      <c r="Y50" s="1745"/>
      <c r="Z50" s="1745"/>
      <c r="AA50" s="1745"/>
      <c r="AB50" s="1745"/>
      <c r="AC50" s="1745"/>
      <c r="AD50" s="1745"/>
      <c r="AE50" s="1745"/>
      <c r="AF50" s="1745"/>
      <c r="AG50" s="1745"/>
      <c r="AH50" s="1745"/>
      <c r="AI50" s="1745"/>
      <c r="AJ50" s="1745"/>
      <c r="AK50" s="1745"/>
      <c r="AL50" s="1745"/>
      <c r="AM50" s="1745"/>
      <c r="AN50" s="1745"/>
      <c r="AO50" s="1745"/>
      <c r="AP50" s="1745"/>
      <c r="AQ50" s="1745"/>
      <c r="AR50" s="1745"/>
      <c r="AS50" s="1745"/>
      <c r="AT50" s="1745"/>
      <c r="AU50" s="1745"/>
      <c r="AV50" s="1745"/>
      <c r="AW50" s="1745"/>
      <c r="AX50" s="1745"/>
      <c r="AY50" s="1745"/>
      <c r="AZ50" s="1745"/>
      <c r="BA50" s="1745"/>
      <c r="BB50" s="1745"/>
      <c r="BC50" s="1745"/>
      <c r="BD50" s="1745"/>
      <c r="BE50" s="1746"/>
      <c r="BF50" s="1759">
        <f t="shared" ref="BF50" si="63">SUM(BF48:BI48)</f>
        <v>0</v>
      </c>
      <c r="BG50" s="1760"/>
      <c r="BH50" s="1760"/>
      <c r="BI50" s="1761"/>
      <c r="BJ50" s="1744">
        <f t="shared" ref="BJ50" si="64">SUM(BJ48:BM48)</f>
        <v>0</v>
      </c>
      <c r="BK50" s="1745"/>
      <c r="BL50" s="1745"/>
      <c r="BM50" s="1746"/>
      <c r="BN50" s="301"/>
      <c r="BO50" s="302"/>
      <c r="BP50" s="303"/>
    </row>
    <row r="51" spans="1:68" ht="14.4" thickBot="1" x14ac:dyDescent="0.3">
      <c r="BN51" s="1749" t="s">
        <v>2047</v>
      </c>
      <c r="BO51" s="1750"/>
      <c r="BP51" s="863">
        <f>'4. Summary &amp; Totals'!C36</f>
        <v>997395</v>
      </c>
    </row>
    <row r="52" spans="1:68" x14ac:dyDescent="0.25">
      <c r="J52" s="304" t="s">
        <v>2048</v>
      </c>
      <c r="K52" s="305">
        <f>+BP34/BO34/8</f>
        <v>106.39810426540285</v>
      </c>
    </row>
    <row r="53" spans="1:68" x14ac:dyDescent="0.25">
      <c r="J53" s="306" t="s">
        <v>2049</v>
      </c>
      <c r="K53" s="307">
        <f>+BP39/BO34/8</f>
        <v>127.67772511848341</v>
      </c>
    </row>
    <row r="54" spans="1:68" ht="14.4" thickBot="1" x14ac:dyDescent="0.3">
      <c r="J54" s="308" t="s">
        <v>2050</v>
      </c>
      <c r="K54" s="309">
        <f>+BP40/BO34/8</f>
        <v>138.3175355450237</v>
      </c>
    </row>
    <row r="55" spans="1:68" ht="14.4" thickBot="1" x14ac:dyDescent="0.3"/>
    <row r="56" spans="1:68" ht="15" x14ac:dyDescent="0.25">
      <c r="J56" s="304" t="s">
        <v>2051</v>
      </c>
      <c r="K56" s="310">
        <f>(BP37-BQ34)/BP37</f>
        <v>1</v>
      </c>
      <c r="P56" s="311"/>
    </row>
    <row r="57" spans="1:68" x14ac:dyDescent="0.25">
      <c r="J57" s="306" t="s">
        <v>2052</v>
      </c>
      <c r="K57" s="312">
        <f>(BP39-BQ34)/BP39</f>
        <v>1</v>
      </c>
    </row>
    <row r="58" spans="1:68" ht="14.4" thickBot="1" x14ac:dyDescent="0.3">
      <c r="J58" s="308" t="s">
        <v>2053</v>
      </c>
      <c r="K58" s="313">
        <f>(BP40-BQ34)/BP40</f>
        <v>1</v>
      </c>
    </row>
    <row r="60" spans="1:68" ht="22.2" x14ac:dyDescent="0.35">
      <c r="A60" s="314" t="s">
        <v>76</v>
      </c>
      <c r="B60" s="315"/>
      <c r="C60" s="315"/>
      <c r="D60" s="315"/>
      <c r="E60" s="315"/>
      <c r="F60" s="315"/>
      <c r="G60" s="315"/>
      <c r="H60" s="315"/>
      <c r="I60" s="315"/>
      <c r="J60" s="315"/>
    </row>
    <row r="62" spans="1:68" ht="14.4" thickBot="1" x14ac:dyDescent="0.3"/>
    <row r="63" spans="1:68" ht="66" x14ac:dyDescent="0.25">
      <c r="A63" s="316" t="s">
        <v>2054</v>
      </c>
      <c r="B63" s="317"/>
      <c r="C63" s="317"/>
      <c r="D63" s="317"/>
      <c r="E63" s="317"/>
      <c r="F63" s="317"/>
      <c r="G63" s="318"/>
      <c r="H63" s="319"/>
      <c r="I63" s="319"/>
      <c r="J63" s="320"/>
    </row>
    <row r="64" spans="1:68" x14ac:dyDescent="0.25">
      <c r="A64" s="321"/>
      <c r="B64" s="322"/>
      <c r="C64" s="322"/>
      <c r="D64" s="322"/>
      <c r="E64" s="322"/>
      <c r="F64" s="322"/>
      <c r="G64" s="142"/>
      <c r="H64" s="142"/>
      <c r="I64" s="142"/>
      <c r="J64" s="270"/>
    </row>
    <row r="65" spans="1:16" ht="79.2" x14ac:dyDescent="0.25">
      <c r="A65" s="323" t="s">
        <v>2055</v>
      </c>
      <c r="B65" s="324"/>
      <c r="C65" s="324"/>
      <c r="D65" s="324"/>
      <c r="E65" s="324"/>
      <c r="F65" s="324"/>
      <c r="G65" s="325"/>
      <c r="H65" s="326"/>
      <c r="I65" s="326"/>
      <c r="J65" s="327"/>
    </row>
    <row r="66" spans="1:16" ht="79.2" x14ac:dyDescent="0.25">
      <c r="A66" s="323" t="s">
        <v>2056</v>
      </c>
      <c r="B66" s="324"/>
      <c r="C66" s="324"/>
      <c r="D66" s="324"/>
      <c r="E66" s="324"/>
      <c r="F66" s="324"/>
      <c r="G66" s="325"/>
      <c r="H66" s="326"/>
      <c r="I66" s="326"/>
      <c r="J66" s="327"/>
    </row>
    <row r="67" spans="1:16" ht="79.2" x14ac:dyDescent="0.25">
      <c r="A67" s="323" t="s">
        <v>2057</v>
      </c>
      <c r="B67" s="324"/>
      <c r="C67" s="324"/>
      <c r="D67" s="324"/>
      <c r="E67" s="324"/>
      <c r="F67" s="324"/>
      <c r="G67" s="325"/>
      <c r="H67" s="326"/>
      <c r="I67" s="326"/>
      <c r="J67" s="327"/>
    </row>
    <row r="68" spans="1:16" ht="79.8" thickBot="1" x14ac:dyDescent="0.3">
      <c r="A68" s="328" t="s">
        <v>2058</v>
      </c>
      <c r="B68" s="329"/>
      <c r="C68" s="329"/>
      <c r="D68" s="329"/>
      <c r="E68" s="329"/>
      <c r="F68" s="329"/>
      <c r="G68" s="330"/>
      <c r="H68" s="331"/>
      <c r="I68" s="331"/>
      <c r="J68" s="332"/>
      <c r="P68" s="311"/>
    </row>
    <row r="69" spans="1:16" ht="14.4" thickBot="1" x14ac:dyDescent="0.3"/>
    <row r="70" spans="1:16" ht="66" x14ac:dyDescent="0.25">
      <c r="A70" s="333" t="s">
        <v>2059</v>
      </c>
      <c r="B70" s="334"/>
      <c r="C70" s="334"/>
      <c r="D70" s="334"/>
      <c r="E70" s="334"/>
      <c r="F70" s="334"/>
      <c r="G70" s="334"/>
      <c r="H70" s="334"/>
      <c r="I70" s="334"/>
      <c r="J70" s="335"/>
    </row>
    <row r="71" spans="1:16" x14ac:dyDescent="0.25">
      <c r="A71" s="321"/>
      <c r="B71" s="322"/>
      <c r="C71" s="322"/>
      <c r="D71" s="322"/>
      <c r="E71" s="322"/>
      <c r="F71" s="322"/>
      <c r="G71" s="142"/>
      <c r="H71" s="142"/>
      <c r="I71" s="142"/>
      <c r="J71" s="270"/>
    </row>
    <row r="72" spans="1:16" ht="79.2" x14ac:dyDescent="0.25">
      <c r="A72" s="336" t="s">
        <v>2060</v>
      </c>
      <c r="B72" s="337"/>
      <c r="C72" s="337"/>
      <c r="D72" s="337"/>
      <c r="E72" s="337"/>
      <c r="F72" s="337"/>
      <c r="G72" s="337"/>
      <c r="H72" s="337"/>
      <c r="I72" s="337"/>
      <c r="J72" s="338"/>
    </row>
    <row r="73" spans="1:16" ht="79.2" x14ac:dyDescent="0.25">
      <c r="A73" s="336" t="s">
        <v>2061</v>
      </c>
      <c r="B73" s="337"/>
      <c r="C73" s="337"/>
      <c r="D73" s="337"/>
      <c r="E73" s="337"/>
      <c r="F73" s="337"/>
      <c r="G73" s="337"/>
      <c r="H73" s="337"/>
      <c r="I73" s="337"/>
      <c r="J73" s="338"/>
    </row>
    <row r="74" spans="1:16" ht="79.2" x14ac:dyDescent="0.25">
      <c r="A74" s="336" t="s">
        <v>2062</v>
      </c>
      <c r="B74" s="337"/>
      <c r="C74" s="337"/>
      <c r="D74" s="337"/>
      <c r="E74" s="337"/>
      <c r="F74" s="337"/>
      <c r="G74" s="337"/>
      <c r="H74" s="337"/>
      <c r="I74" s="337"/>
      <c r="J74" s="338"/>
    </row>
    <row r="75" spans="1:16" ht="79.8" thickBot="1" x14ac:dyDescent="0.3">
      <c r="A75" s="339" t="s">
        <v>2063</v>
      </c>
      <c r="B75" s="340"/>
      <c r="C75" s="340"/>
      <c r="D75" s="340"/>
      <c r="E75" s="340"/>
      <c r="F75" s="340"/>
      <c r="G75" s="340"/>
      <c r="H75" s="340"/>
      <c r="I75" s="340"/>
      <c r="J75" s="341"/>
    </row>
  </sheetData>
  <mergeCells count="10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 ref="A34:I35"/>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O39:Q39"/>
    <mergeCell ref="R39:S39"/>
    <mergeCell ref="T39:U39"/>
    <mergeCell ref="V39:AS39"/>
    <mergeCell ref="BD39:BE39"/>
    <mergeCell ref="V40:BE40"/>
    <mergeCell ref="BF40:BI40"/>
    <mergeCell ref="BJ40:BM40"/>
    <mergeCell ref="BW32:BW33"/>
    <mergeCell ref="BN36:BO36"/>
    <mergeCell ref="BN37:BO37"/>
    <mergeCell ref="BN38:BO38"/>
    <mergeCell ref="BF39:BG39"/>
    <mergeCell ref="BH39:BI39"/>
    <mergeCell ref="BJ39:BK39"/>
    <mergeCell ref="BL39:BM39"/>
    <mergeCell ref="BN39:BO39"/>
    <mergeCell ref="AT39:AU39"/>
    <mergeCell ref="AV39:AW39"/>
    <mergeCell ref="AX39:AY39"/>
    <mergeCell ref="AZ39:BA39"/>
    <mergeCell ref="BB39:BC39"/>
    <mergeCell ref="AZ49:BA49"/>
    <mergeCell ref="BB49:BC49"/>
    <mergeCell ref="BJ45:BM45"/>
    <mergeCell ref="BN40:BO40"/>
    <mergeCell ref="BN42:BO42"/>
    <mergeCell ref="BN43:BO43"/>
    <mergeCell ref="O44:Q44"/>
    <mergeCell ref="R44:S44"/>
    <mergeCell ref="T44:U44"/>
    <mergeCell ref="V44:AS44"/>
    <mergeCell ref="BD44:BE44"/>
    <mergeCell ref="BF44:BG44"/>
    <mergeCell ref="BH44:BI44"/>
    <mergeCell ref="BJ44:BK44"/>
    <mergeCell ref="BL44:BM44"/>
    <mergeCell ref="BN44:BO44"/>
    <mergeCell ref="N40:Q40"/>
    <mergeCell ref="R40:U40"/>
    <mergeCell ref="AT44:AU44"/>
    <mergeCell ref="AV44:AW44"/>
    <mergeCell ref="AX44:AY44"/>
    <mergeCell ref="AZ44:BA44"/>
    <mergeCell ref="BB44:BC44"/>
    <mergeCell ref="BJ50:BM50"/>
    <mergeCell ref="BN45:BO45"/>
    <mergeCell ref="BN51:BO51"/>
    <mergeCell ref="BN46:BO46"/>
    <mergeCell ref="O49:Q49"/>
    <mergeCell ref="R49:S49"/>
    <mergeCell ref="T49:U49"/>
    <mergeCell ref="V49:AS49"/>
    <mergeCell ref="BD49:BE49"/>
    <mergeCell ref="BF49:BG49"/>
    <mergeCell ref="BH49:BI49"/>
    <mergeCell ref="BJ49:BK49"/>
    <mergeCell ref="BL49:BM49"/>
    <mergeCell ref="N50:Q50"/>
    <mergeCell ref="R50:U50"/>
    <mergeCell ref="V50:BE50"/>
    <mergeCell ref="BF50:BI50"/>
    <mergeCell ref="N45:Q45"/>
    <mergeCell ref="R45:U45"/>
    <mergeCell ref="V45:BE45"/>
    <mergeCell ref="BF45:BI45"/>
    <mergeCell ref="AT49:AU49"/>
    <mergeCell ref="AV49:AW49"/>
    <mergeCell ref="AX49:AY49"/>
  </mergeCells>
  <phoneticPr fontId="33" type="noConversion"/>
  <conditionalFormatting sqref="J1 L1 K3:K9">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5: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2:K54 BP16:BQ34 BP36:BP40 N38:BM38 BP42:BP46 N43:BM43 N48:BM48 BP51">
    <cfRule type="expression" dxfId="94" priority="25">
      <formula>$J$1="Canada"</formula>
    </cfRule>
  </conditionalFormatting>
  <conditionalFormatting sqref="BP16:BQ34 BP36:BP40 N38:BM38 BP42:BP46 N43:BM43 N48:BM48 BP51 K52:K54">
    <cfRule type="expression" dxfId="93" priority="26">
      <formula>$J$1="India"</formula>
    </cfRule>
    <cfRule type="expression" dxfId="92" priority="27">
      <formula>$J$1="US"</formula>
    </cfRule>
    <cfRule type="expression" dxfId="91" priority="28">
      <formula>$J$1="UK"</formula>
    </cfRule>
  </conditionalFormatting>
  <conditionalFormatting sqref="BT16:BT34">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6">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6:BV33">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9" xr:uid="{941F3AE3-3B07-4BC5-9B19-E8B1D06710D4}">
      <formula1>"USA,India,UK"</formula1>
    </dataValidation>
  </dataValidations>
  <hyperlinks>
    <hyperlink ref="G1" location="Instructions_Guidelines!A1" display="Instructions/ Guidelines" xr:uid="{6C0BBE9F-14C2-4CA5-AE37-80A11139183C}"/>
    <hyperlink ref="BQ47" location="Instructions_Guidelines!A1" display="Check Instructions_Guidelines" xr:uid="{C12D320A-AE4C-4BDA-B59F-82D766BAAE7A}"/>
    <hyperlink ref="BW32:BW33"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57" activePane="bottomLeft" state="frozen"/>
      <selection activeCell="G20" sqref="G20"/>
      <selection pane="bottomLeft" activeCell="E69" sqref="E69"/>
    </sheetView>
  </sheetViews>
  <sheetFormatPr defaultColWidth="8.77734375" defaultRowHeight="13.8" x14ac:dyDescent="0.25"/>
  <cols>
    <col min="1" max="1" width="3.77734375" style="395" customWidth="1"/>
    <col min="2" max="2" width="41.21875" style="395" customWidth="1"/>
    <col min="3" max="8" width="23.44140625" style="395" customWidth="1"/>
    <col min="9" max="9" width="19.88671875" style="395" bestFit="1" customWidth="1"/>
    <col min="10" max="16384" width="8.77734375" style="395"/>
  </cols>
  <sheetData>
    <row r="1" spans="2:8" s="469" customFormat="1" ht="7.5" customHeight="1" x14ac:dyDescent="0.25"/>
    <row r="2" spans="2:8" s="469" customFormat="1" ht="25.8" x14ac:dyDescent="0.25">
      <c r="B2" s="856" t="s">
        <v>3173</v>
      </c>
      <c r="F2" s="1850" t="s">
        <v>0</v>
      </c>
      <c r="G2" s="1851"/>
      <c r="H2" s="1852"/>
    </row>
    <row r="3" spans="2:8" s="469" customFormat="1" ht="25.05" customHeight="1" x14ac:dyDescent="0.25">
      <c r="B3" s="1821" t="s">
        <v>3193</v>
      </c>
      <c r="C3" s="1821"/>
      <c r="D3" s="1821"/>
      <c r="F3" s="832" t="s">
        <v>2159</v>
      </c>
      <c r="G3" s="742" t="s">
        <v>2260</v>
      </c>
      <c r="H3" s="836" t="s">
        <v>2239</v>
      </c>
    </row>
    <row r="4" spans="2:8" s="469" customFormat="1" ht="9.4499999999999993" customHeight="1" x14ac:dyDescent="0.25">
      <c r="D4" s="729"/>
      <c r="E4" s="732"/>
      <c r="F4" s="737"/>
      <c r="G4" s="729"/>
    </row>
    <row r="5" spans="2:8" ht="5.55" customHeight="1" x14ac:dyDescent="0.25"/>
    <row r="6" spans="2:8" ht="17.399999999999999" x14ac:dyDescent="0.25">
      <c r="B6" s="740" t="s">
        <v>2</v>
      </c>
      <c r="C6" s="403"/>
      <c r="D6" s="403"/>
      <c r="E6" s="403"/>
      <c r="F6" s="403"/>
      <c r="G6" s="403"/>
      <c r="H6" s="403"/>
    </row>
    <row r="7" spans="2:8" x14ac:dyDescent="0.25">
      <c r="B7" s="1859" t="s">
        <v>2315</v>
      </c>
      <c r="C7" s="1859"/>
      <c r="D7" s="1859"/>
      <c r="E7" s="1859"/>
      <c r="F7" s="1859"/>
      <c r="G7" s="1859"/>
    </row>
    <row r="8" spans="2:8" x14ac:dyDescent="0.25">
      <c r="B8" s="1822" t="s">
        <v>3301</v>
      </c>
      <c r="C8" s="1822"/>
      <c r="D8" s="1822"/>
      <c r="E8" s="1822"/>
      <c r="F8" s="1822"/>
      <c r="G8" s="1822"/>
    </row>
    <row r="9" spans="2:8" x14ac:dyDescent="0.25">
      <c r="B9" s="1825" t="s">
        <v>3302</v>
      </c>
      <c r="C9" s="1825"/>
      <c r="D9" s="1825"/>
      <c r="E9" s="1825"/>
      <c r="F9" s="1825"/>
      <c r="G9" s="1825"/>
    </row>
    <row r="10" spans="2:8" x14ac:dyDescent="0.25">
      <c r="B10" s="1822" t="s">
        <v>3303</v>
      </c>
      <c r="C10" s="1822"/>
      <c r="D10" s="1822"/>
      <c r="E10" s="1822"/>
      <c r="F10" s="1822"/>
      <c r="G10" s="1822"/>
    </row>
    <row r="11" spans="2:8" x14ac:dyDescent="0.25">
      <c r="B11" s="1729" t="s">
        <v>3304</v>
      </c>
      <c r="C11" s="1729"/>
      <c r="D11" s="1729"/>
      <c r="E11" s="1729"/>
      <c r="F11" s="1729"/>
      <c r="G11" s="1729"/>
    </row>
    <row r="12" spans="2:8" ht="27.45" customHeight="1" x14ac:dyDescent="0.25">
      <c r="B12" s="1729" t="s">
        <v>3305</v>
      </c>
      <c r="C12" s="1729"/>
      <c r="D12" s="1729"/>
      <c r="E12" s="1729"/>
      <c r="F12" s="1729"/>
      <c r="G12" s="1729"/>
    </row>
    <row r="14" spans="2:8" ht="17.399999999999999" x14ac:dyDescent="0.25">
      <c r="B14" s="859" t="s">
        <v>2325</v>
      </c>
      <c r="C14" s="475"/>
      <c r="D14" s="475"/>
      <c r="E14" s="475"/>
      <c r="F14" s="475"/>
      <c r="G14" s="475"/>
      <c r="H14" s="475"/>
    </row>
    <row r="15" spans="2:8" ht="33.450000000000003" customHeight="1" x14ac:dyDescent="0.25">
      <c r="B15" s="1729" t="s">
        <v>3311</v>
      </c>
      <c r="C15" s="1729"/>
      <c r="D15" s="1729"/>
      <c r="E15" s="1729"/>
      <c r="F15" s="1729"/>
      <c r="G15" s="1729"/>
    </row>
    <row r="16" spans="2:8" ht="5.55" customHeight="1" x14ac:dyDescent="0.25">
      <c r="B16" s="1212"/>
      <c r="C16" s="1212"/>
      <c r="D16" s="1212"/>
      <c r="E16" s="1212"/>
      <c r="F16" s="1212"/>
      <c r="G16" s="1212"/>
    </row>
    <row r="17" spans="2:9" s="411" customFormat="1" ht="25.95" customHeight="1" x14ac:dyDescent="0.3">
      <c r="B17" s="1229" t="s">
        <v>2094</v>
      </c>
      <c r="C17" s="1525">
        <v>0.05</v>
      </c>
    </row>
    <row r="18" spans="2:9" s="411" customFormat="1" ht="15" x14ac:dyDescent="0.3">
      <c r="B18" s="1514"/>
      <c r="C18" s="1515"/>
    </row>
    <row r="19" spans="2:9" s="411" customFormat="1" x14ac:dyDescent="0.3">
      <c r="B19" s="1848" t="s">
        <v>3292</v>
      </c>
      <c r="C19" s="1849"/>
    </row>
    <row r="20" spans="2:9" s="411" customFormat="1" ht="27.6" x14ac:dyDescent="0.3">
      <c r="B20" s="1518" t="s">
        <v>27</v>
      </c>
      <c r="C20" s="1521" t="s">
        <v>3289</v>
      </c>
    </row>
    <row r="21" spans="2:9" s="411" customFormat="1" x14ac:dyDescent="0.3">
      <c r="B21" s="1519" t="s">
        <v>3290</v>
      </c>
      <c r="C21" s="1522" t="s">
        <v>3396</v>
      </c>
    </row>
    <row r="22" spans="2:9" s="411" customFormat="1" x14ac:dyDescent="0.3">
      <c r="B22" s="1519" t="s">
        <v>3291</v>
      </c>
      <c r="C22" s="1522" t="s">
        <v>3397</v>
      </c>
    </row>
    <row r="23" spans="2:9" s="411" customFormat="1" x14ac:dyDescent="0.3">
      <c r="B23" s="1520" t="s">
        <v>278</v>
      </c>
      <c r="C23" s="1523" t="s">
        <v>3397</v>
      </c>
    </row>
    <row r="24" spans="2:9" x14ac:dyDescent="0.25">
      <c r="B24" s="1517"/>
      <c r="C24" s="1516"/>
    </row>
    <row r="25" spans="2:9" ht="17.399999999999999" x14ac:dyDescent="0.25">
      <c r="B25" s="1162" t="s">
        <v>2328</v>
      </c>
      <c r="C25" s="802"/>
      <c r="D25" s="403"/>
      <c r="E25" s="403"/>
      <c r="F25" s="403"/>
      <c r="G25" s="403"/>
      <c r="H25" s="403"/>
    </row>
    <row r="26" spans="2:9" x14ac:dyDescent="0.25">
      <c r="B26" s="1691" t="s">
        <v>3190</v>
      </c>
      <c r="C26" s="1691"/>
      <c r="D26" s="1691"/>
      <c r="E26" s="1691"/>
      <c r="F26" s="1691"/>
      <c r="G26" s="1691"/>
      <c r="H26" s="1691"/>
      <c r="I26" s="1691"/>
    </row>
    <row r="27" spans="2:9" x14ac:dyDescent="0.25">
      <c r="B27" s="1700" t="s">
        <v>3204</v>
      </c>
      <c r="C27" s="1700"/>
      <c r="D27" s="1700"/>
      <c r="E27" s="1700"/>
      <c r="F27" s="1700"/>
      <c r="G27" s="1700"/>
      <c r="H27" s="1700"/>
      <c r="I27" s="1466"/>
    </row>
    <row r="28" spans="2:9" x14ac:dyDescent="0.25">
      <c r="B28" s="1700" t="s">
        <v>3306</v>
      </c>
      <c r="C28" s="1700"/>
      <c r="D28" s="1700"/>
      <c r="E28" s="1700"/>
      <c r="F28" s="1700"/>
      <c r="G28" s="1700"/>
      <c r="H28" s="1700"/>
      <c r="I28" s="1466"/>
    </row>
    <row r="29" spans="2:9" x14ac:dyDescent="0.25">
      <c r="B29" s="1219"/>
      <c r="C29" s="1219"/>
      <c r="D29" s="1219"/>
      <c r="E29" s="1219"/>
      <c r="F29" s="1219"/>
      <c r="G29" s="1219"/>
      <c r="H29" s="1219"/>
      <c r="I29" s="1218"/>
    </row>
    <row r="30" spans="2:9" ht="19.05" customHeight="1" x14ac:dyDescent="0.25">
      <c r="B30" s="1646" t="s">
        <v>2265</v>
      </c>
      <c r="C30" s="1647"/>
    </row>
    <row r="31" spans="2:9" ht="19.05" customHeight="1" x14ac:dyDescent="0.25">
      <c r="B31" s="931" t="s">
        <v>2078</v>
      </c>
      <c r="C31" s="932">
        <f>'2. Roles &amp; Pricing'!D289</f>
        <v>898000</v>
      </c>
    </row>
    <row r="32" spans="2:9" ht="19.05" customHeight="1" x14ac:dyDescent="0.25">
      <c r="B32" s="1138" t="s">
        <v>2079</v>
      </c>
      <c r="C32" s="1140" t="s">
        <v>2285</v>
      </c>
    </row>
    <row r="33" spans="2:15" ht="19.05" customHeight="1" x14ac:dyDescent="0.25">
      <c r="B33" s="1044" t="s">
        <v>2080</v>
      </c>
      <c r="C33" s="1141" t="str">
        <f>IFERROR(C31*(1+C32),"")</f>
        <v/>
      </c>
    </row>
    <row r="34" spans="2:15" ht="12" customHeight="1" x14ac:dyDescent="0.25"/>
    <row r="35" spans="2:15" ht="19.05" customHeight="1" x14ac:dyDescent="0.25">
      <c r="B35" s="1646" t="s">
        <v>2266</v>
      </c>
      <c r="C35" s="1647"/>
    </row>
    <row r="36" spans="2:15" ht="19.05" customHeight="1" x14ac:dyDescent="0.25">
      <c r="B36" s="931" t="s">
        <v>2078</v>
      </c>
      <c r="C36" s="932">
        <f>'2. Roles &amp; Pricing'!D289</f>
        <v>898000</v>
      </c>
    </row>
    <row r="37" spans="2:15" ht="19.05" customHeight="1" x14ac:dyDescent="0.25">
      <c r="B37" s="1138" t="s">
        <v>2080</v>
      </c>
      <c r="C37" s="1139" t="s">
        <v>2171</v>
      </c>
    </row>
    <row r="38" spans="2:15" ht="19.05" customHeight="1" x14ac:dyDescent="0.25">
      <c r="B38" s="1044" t="s">
        <v>1902</v>
      </c>
      <c r="C38" s="1526" t="str">
        <f>IFERROR((C37/C36)-1,"")</f>
        <v/>
      </c>
    </row>
    <row r="40" spans="2:15" ht="17.399999999999999" x14ac:dyDescent="0.25">
      <c r="B40" s="859" t="s">
        <v>2327</v>
      </c>
      <c r="C40" s="475"/>
      <c r="D40" s="475"/>
      <c r="E40" s="475"/>
      <c r="F40" s="475"/>
      <c r="G40" s="475"/>
      <c r="H40" s="475"/>
    </row>
    <row r="41" spans="2:15" x14ac:dyDescent="0.25">
      <c r="B41" s="1826" t="s">
        <v>2377</v>
      </c>
      <c r="C41" s="1826"/>
      <c r="D41" s="1826"/>
      <c r="E41" s="1826"/>
      <c r="F41" s="1826"/>
      <c r="G41" s="1826"/>
      <c r="H41" s="1826"/>
      <c r="I41" s="1384"/>
    </row>
    <row r="42" spans="2:15" ht="13.95" customHeight="1" x14ac:dyDescent="0.25">
      <c r="B42" s="1824" t="s">
        <v>3191</v>
      </c>
      <c r="C42" s="1824"/>
      <c r="D42" s="1824"/>
      <c r="E42" s="1824"/>
      <c r="F42" s="1824"/>
      <c r="G42" s="1824"/>
      <c r="H42" s="1824"/>
      <c r="I42" s="1230"/>
    </row>
    <row r="43" spans="2:15" ht="15" customHeight="1" x14ac:dyDescent="0.25">
      <c r="B43" s="1824" t="s">
        <v>2331</v>
      </c>
      <c r="C43" s="1824"/>
      <c r="D43" s="1824"/>
      <c r="E43" s="1824"/>
      <c r="F43" s="1824"/>
      <c r="G43" s="1824"/>
      <c r="H43" s="1824"/>
    </row>
    <row r="44" spans="2:15" ht="15" customHeight="1" x14ac:dyDescent="0.25">
      <c r="B44" s="1729" t="s">
        <v>2326</v>
      </c>
      <c r="C44" s="1729"/>
      <c r="D44" s="1729"/>
      <c r="E44" s="1729"/>
      <c r="F44" s="1729"/>
      <c r="G44" s="1729"/>
      <c r="H44" s="710"/>
      <c r="J44" s="1206"/>
      <c r="K44" s="1206"/>
      <c r="L44" s="1206"/>
      <c r="M44" s="1206"/>
      <c r="N44" s="1206"/>
      <c r="O44" s="1206"/>
    </row>
    <row r="45" spans="2:15" ht="15" customHeight="1" x14ac:dyDescent="0.25">
      <c r="B45" s="1822" t="s">
        <v>3307</v>
      </c>
      <c r="C45" s="1822"/>
      <c r="D45" s="1822"/>
      <c r="E45" s="1822"/>
      <c r="F45" s="1822"/>
      <c r="G45" s="1822"/>
      <c r="H45" s="710"/>
      <c r="J45" s="1206"/>
      <c r="K45" s="1206"/>
      <c r="L45" s="1206"/>
      <c r="M45" s="1206"/>
      <c r="N45" s="1206"/>
      <c r="O45" s="1206"/>
    </row>
    <row r="46" spans="2:15" ht="28.95" customHeight="1" x14ac:dyDescent="0.25">
      <c r="B46" s="1822" t="s">
        <v>3205</v>
      </c>
      <c r="C46" s="1822"/>
      <c r="D46" s="1822"/>
      <c r="E46" s="1822"/>
      <c r="F46" s="1822"/>
      <c r="G46" s="1822"/>
      <c r="H46" s="1822"/>
      <c r="J46" s="1206"/>
      <c r="K46" s="1206"/>
      <c r="L46" s="1206"/>
      <c r="M46" s="1206"/>
      <c r="N46" s="1206"/>
      <c r="O46" s="1206"/>
    </row>
    <row r="47" spans="2:15" ht="15" customHeight="1" x14ac:dyDescent="0.25">
      <c r="B47" s="1823" t="s">
        <v>3192</v>
      </c>
      <c r="C47" s="1823"/>
      <c r="D47" s="1823"/>
      <c r="E47" s="1823"/>
      <c r="F47" s="1823"/>
      <c r="G47" s="1823"/>
      <c r="H47" s="710"/>
      <c r="J47" s="1206"/>
      <c r="K47" s="1206"/>
      <c r="L47" s="1206"/>
      <c r="M47" s="1206"/>
      <c r="N47" s="1206"/>
      <c r="O47" s="1206"/>
    </row>
    <row r="48" spans="2:15" x14ac:dyDescent="0.25">
      <c r="B48" s="1822" t="s">
        <v>2267</v>
      </c>
      <c r="C48" s="1822"/>
      <c r="D48" s="1822"/>
      <c r="E48" s="1822"/>
      <c r="F48" s="1822"/>
      <c r="G48" s="1822"/>
    </row>
    <row r="49" spans="2:9" x14ac:dyDescent="0.25">
      <c r="B49" s="710"/>
      <c r="C49" s="710"/>
      <c r="D49" s="710"/>
      <c r="E49" s="710"/>
      <c r="F49" s="710"/>
    </row>
    <row r="50" spans="2:9" x14ac:dyDescent="0.25">
      <c r="B50" s="1856" t="s">
        <v>2180</v>
      </c>
      <c r="C50" s="1857"/>
      <c r="D50" s="1857"/>
      <c r="E50" s="1858"/>
      <c r="F50" s="556"/>
      <c r="G50" s="556"/>
      <c r="H50" s="556"/>
    </row>
    <row r="51" spans="2:9" x14ac:dyDescent="0.25">
      <c r="B51" s="934" t="s">
        <v>189</v>
      </c>
      <c r="C51" s="935" t="s">
        <v>2086</v>
      </c>
      <c r="D51" s="935" t="s">
        <v>222</v>
      </c>
      <c r="E51" s="936" t="s">
        <v>111</v>
      </c>
      <c r="H51" s="458"/>
    </row>
    <row r="52" spans="2:9" ht="31.05" customHeight="1" x14ac:dyDescent="0.25">
      <c r="B52" s="937">
        <f>('2. Roles &amp; Pricing'!D289-'2. Roles &amp; Pricing'!F289)/'2. Roles &amp; Pricing'!D289</f>
        <v>0.56022271714922045</v>
      </c>
      <c r="C52" s="938">
        <v>0.47</v>
      </c>
      <c r="D52" s="939">
        <f>B52-C52</f>
        <v>9.0222717149220477E-2</v>
      </c>
      <c r="E52" s="940">
        <f>'2. Roles &amp; Pricing'!D289/'2. Roles &amp; Pricing'!M289</f>
        <v>106.39810426540285</v>
      </c>
      <c r="H52" s="562"/>
    </row>
    <row r="53" spans="2:9" x14ac:dyDescent="0.25">
      <c r="B53" s="1855"/>
      <c r="C53" s="1855"/>
      <c r="D53" s="1855"/>
      <c r="E53" s="1855"/>
      <c r="F53" s="1855"/>
      <c r="G53" s="556"/>
      <c r="H53" s="556"/>
    </row>
    <row r="54" spans="2:9" x14ac:dyDescent="0.25">
      <c r="B54" s="1827" t="s">
        <v>2179</v>
      </c>
      <c r="C54" s="1828"/>
      <c r="D54" s="1828"/>
      <c r="E54" s="1828"/>
      <c r="F54" s="1828"/>
      <c r="G54" s="1828"/>
      <c r="H54" s="1828"/>
      <c r="I54" s="1829"/>
    </row>
    <row r="55" spans="2:9" x14ac:dyDescent="0.25">
      <c r="B55" s="941" t="s">
        <v>189</v>
      </c>
      <c r="C55" s="942">
        <v>0.4</v>
      </c>
      <c r="D55" s="942">
        <v>0.43</v>
      </c>
      <c r="E55" s="942">
        <v>0.45</v>
      </c>
      <c r="F55" s="942">
        <v>0.5</v>
      </c>
      <c r="G55" s="942">
        <v>0.55000000000000004</v>
      </c>
      <c r="H55" s="942" t="s">
        <v>2371</v>
      </c>
      <c r="I55" s="943" t="s">
        <v>2371</v>
      </c>
    </row>
    <row r="56" spans="2:9" x14ac:dyDescent="0.25">
      <c r="B56" s="944" t="s">
        <v>224</v>
      </c>
      <c r="C56" s="1231">
        <f>('4. Summary &amp; Totals'!$C$67)/(1-C55)+'4. Summary &amp; Totals'!$C$68</f>
        <v>1498166.6666666667</v>
      </c>
      <c r="D56" s="1231">
        <f>('4. Summary &amp; Totals'!$C$67)/(1-D55)+'4. Summary &amp; Totals'!$C$68</f>
        <v>1576938.5964912279</v>
      </c>
      <c r="E56" s="1231">
        <f>('4. Summary &amp; Totals'!$C$67)/(1-E55)+'4. Summary &amp; Totals'!$C$68</f>
        <v>1634227.2727272727</v>
      </c>
      <c r="F56" s="1231">
        <f>('4. Summary &amp; Totals'!$C$67)/(1-F55)+'4. Summary &amp; Totals'!$C$68</f>
        <v>1797500</v>
      </c>
      <c r="G56" s="1231">
        <f>('4. Summary &amp; Totals'!$C$67)/(1-G55)+'4. Summary &amp; Totals'!$C$68</f>
        <v>1997055.5555555557</v>
      </c>
      <c r="H56" s="1231" t="str">
        <f>IF(H55="Enter Test Margin %","",('4. Summary &amp; Totals'!$C$67)/(1-H55)+'4. Summary &amp; Totals'!$C$68)</f>
        <v/>
      </c>
      <c r="I56" s="1232" t="s">
        <v>3685</v>
      </c>
    </row>
    <row r="57" spans="2:9" x14ac:dyDescent="0.25">
      <c r="B57" s="945" t="s">
        <v>225</v>
      </c>
      <c r="C57" s="1233">
        <f>IFERROR(ROUNDUP((C56/'2. Roles &amp; Pricing'!$M$289),0),"")</f>
        <v>178</v>
      </c>
      <c r="D57" s="1233">
        <f>ROUNDUP(IFERROR(D56/'2. Roles &amp; Pricing'!$M$289,""),0)</f>
        <v>187</v>
      </c>
      <c r="E57" s="1233">
        <f>ROUNDUP(IFERROR(E56/'2. Roles &amp; Pricing'!$M$289,""),0)</f>
        <v>194</v>
      </c>
      <c r="F57" s="1233">
        <f>ROUNDUP(IFERROR(F56/'2. Roles &amp; Pricing'!$M$289,""),0)</f>
        <v>213</v>
      </c>
      <c r="G57" s="1233">
        <f>ROUNDUP(IFERROR(G56/'2. Roles &amp; Pricing'!$M$289,""),0)</f>
        <v>237</v>
      </c>
      <c r="H57" s="1233" t="str">
        <f>IF(H55="Enter Test Margin %","",H56/'2. Roles &amp; Pricing'!M289)</f>
        <v/>
      </c>
      <c r="I57" s="1234" t="str">
        <f>IF(I55="Enter Test Margin %","",I56/'2. Roles &amp; Pricing'!N289)</f>
        <v/>
      </c>
    </row>
    <row r="59" spans="2:9" ht="17.399999999999999" x14ac:dyDescent="0.25">
      <c r="B59" s="857" t="s">
        <v>2329</v>
      </c>
      <c r="C59" s="475"/>
      <c r="D59" s="475"/>
      <c r="E59" s="475"/>
      <c r="F59" s="475"/>
      <c r="G59" s="475"/>
      <c r="H59" s="475"/>
    </row>
    <row r="60" spans="2:9" x14ac:dyDescent="0.25">
      <c r="B60" s="1844" t="s">
        <v>3308</v>
      </c>
      <c r="C60" s="1844"/>
      <c r="D60" s="1844"/>
      <c r="E60" s="1844"/>
      <c r="F60" s="1844"/>
      <c r="G60" s="1844"/>
      <c r="H60" s="1844"/>
    </row>
    <row r="61" spans="2:9" x14ac:dyDescent="0.25">
      <c r="B61" s="1706" t="s">
        <v>2330</v>
      </c>
      <c r="C61" s="1706"/>
      <c r="D61" s="1706"/>
      <c r="E61" s="1706"/>
      <c r="F61" s="1706"/>
      <c r="G61" s="1706"/>
    </row>
    <row r="62" spans="2:9" ht="15" customHeight="1" x14ac:dyDescent="0.25">
      <c r="B62" s="1216"/>
      <c r="C62" s="1213"/>
      <c r="D62" s="1213"/>
      <c r="E62" s="1213"/>
      <c r="F62" s="1213"/>
      <c r="G62" s="1213"/>
    </row>
    <row r="63" spans="2:9" x14ac:dyDescent="0.25">
      <c r="B63" s="1846" t="s">
        <v>2181</v>
      </c>
      <c r="C63" s="1847"/>
    </row>
    <row r="64" spans="2:9" x14ac:dyDescent="0.25">
      <c r="B64" s="946" t="s">
        <v>109</v>
      </c>
      <c r="C64" s="947">
        <f>'2. Roles &amp; Pricing'!D289</f>
        <v>898000</v>
      </c>
    </row>
    <row r="65" spans="2:8" x14ac:dyDescent="0.25">
      <c r="B65" s="948" t="s">
        <v>1466</v>
      </c>
      <c r="C65" s="949">
        <v>0</v>
      </c>
    </row>
    <row r="66" spans="2:8" x14ac:dyDescent="0.25">
      <c r="B66" s="1142" t="s">
        <v>1467</v>
      </c>
      <c r="C66" s="1143" t="s">
        <v>2170</v>
      </c>
    </row>
    <row r="67" spans="2:8" x14ac:dyDescent="0.25">
      <c r="B67" s="1464" t="s">
        <v>1468</v>
      </c>
      <c r="C67" s="1144">
        <f>IFERROR(IF(C65="Enter Discount %",C66,(C64*C65)),"")</f>
        <v>0</v>
      </c>
    </row>
    <row r="69" spans="2:8" ht="17.399999999999999" x14ac:dyDescent="0.25">
      <c r="B69" s="859" t="s">
        <v>2332</v>
      </c>
      <c r="C69" s="563"/>
      <c r="D69" s="403"/>
      <c r="E69" s="564"/>
      <c r="F69" s="564"/>
      <c r="G69" s="564"/>
      <c r="H69" s="565"/>
    </row>
    <row r="70" spans="2:8" ht="28.95" customHeight="1" x14ac:dyDescent="0.25">
      <c r="B70" s="1845" t="s">
        <v>2378</v>
      </c>
      <c r="C70" s="1845"/>
      <c r="D70" s="1845"/>
      <c r="E70" s="1845"/>
      <c r="F70" s="1845"/>
      <c r="G70" s="1845"/>
      <c r="H70" s="1845"/>
    </row>
    <row r="71" spans="2:8" ht="15" customHeight="1" x14ac:dyDescent="0.25">
      <c r="B71" s="1216"/>
      <c r="C71" s="1213"/>
      <c r="D71" s="1213"/>
      <c r="E71" s="1213"/>
      <c r="F71" s="1213"/>
      <c r="G71" s="1213"/>
    </row>
    <row r="72" spans="2:8" x14ac:dyDescent="0.25">
      <c r="B72" s="1836" t="s">
        <v>2290</v>
      </c>
      <c r="C72" s="1837"/>
      <c r="D72" s="952" t="s">
        <v>215</v>
      </c>
    </row>
    <row r="73" spans="2:8" x14ac:dyDescent="0.25">
      <c r="B73" s="950" t="s">
        <v>217</v>
      </c>
      <c r="C73" s="930">
        <v>1500</v>
      </c>
      <c r="D73" s="951" t="s">
        <v>78</v>
      </c>
    </row>
    <row r="74" spans="2:8" x14ac:dyDescent="0.25">
      <c r="B74" s="950" t="s">
        <v>218</v>
      </c>
      <c r="C74" s="930">
        <v>2000</v>
      </c>
      <c r="D74" s="951" t="s">
        <v>275</v>
      </c>
    </row>
    <row r="75" spans="2:8" x14ac:dyDescent="0.25">
      <c r="B75" s="950" t="s">
        <v>219</v>
      </c>
      <c r="C75" s="930" t="s">
        <v>2171</v>
      </c>
      <c r="D75" s="951" t="s">
        <v>275</v>
      </c>
    </row>
    <row r="76" spans="2:8" x14ac:dyDescent="0.25">
      <c r="B76" s="1527" t="s">
        <v>220</v>
      </c>
      <c r="C76" s="1528" t="s">
        <v>2171</v>
      </c>
      <c r="D76" s="1146" t="s">
        <v>216</v>
      </c>
    </row>
    <row r="77" spans="2:8" x14ac:dyDescent="0.25">
      <c r="B77" s="1529" t="s">
        <v>3312</v>
      </c>
      <c r="C77" s="1838">
        <f>SUMIFS($C$73:$C$76,$D$73:$D$76,"Yes")</f>
        <v>1500</v>
      </c>
      <c r="D77" s="1839"/>
    </row>
    <row r="78" spans="2:8" x14ac:dyDescent="0.25">
      <c r="B78" s="1530" t="s">
        <v>3313</v>
      </c>
      <c r="C78" s="1840">
        <f>SUMIFS($C$73:$C$76,$D$73:$D$76,"No")</f>
        <v>2000</v>
      </c>
      <c r="D78" s="1841"/>
    </row>
    <row r="79" spans="2:8" x14ac:dyDescent="0.25">
      <c r="B79" s="566"/>
      <c r="C79" s="567"/>
      <c r="D79" s="568"/>
    </row>
    <row r="80" spans="2:8" ht="17.399999999999999" x14ac:dyDescent="0.25">
      <c r="B80" s="859" t="s">
        <v>3225</v>
      </c>
      <c r="C80" s="1465"/>
      <c r="D80" s="563"/>
      <c r="E80" s="564"/>
      <c r="F80" s="564"/>
      <c r="G80" s="564"/>
    </row>
    <row r="81" spans="2:8" x14ac:dyDescent="0.25">
      <c r="B81" s="1845" t="s">
        <v>3309</v>
      </c>
      <c r="C81" s="1845"/>
      <c r="D81" s="1845"/>
      <c r="E81" s="1845"/>
      <c r="F81" s="1845"/>
      <c r="G81" s="1845"/>
      <c r="H81" s="1845"/>
    </row>
    <row r="82" spans="2:8" x14ac:dyDescent="0.25">
      <c r="B82" s="1707" t="s">
        <v>3310</v>
      </c>
      <c r="C82" s="1707"/>
      <c r="D82" s="1707"/>
      <c r="E82" s="1707"/>
      <c r="F82" s="1707"/>
      <c r="G82" s="1707"/>
    </row>
    <row r="83" spans="2:8" ht="15" customHeight="1" x14ac:dyDescent="0.25">
      <c r="B83" s="1216"/>
      <c r="C83" s="1213"/>
      <c r="D83" s="1213"/>
      <c r="E83" s="1213"/>
      <c r="F83" s="1213"/>
      <c r="G83" s="1213"/>
    </row>
    <row r="84" spans="2:8" x14ac:dyDescent="0.25">
      <c r="B84" s="1842" t="s">
        <v>221</v>
      </c>
      <c r="C84" s="1843"/>
      <c r="D84" s="1535"/>
    </row>
    <row r="85" spans="2:8" x14ac:dyDescent="0.25">
      <c r="B85" s="953" t="s">
        <v>2172</v>
      </c>
      <c r="C85" s="1531" t="s">
        <v>2171</v>
      </c>
      <c r="D85" s="1536"/>
    </row>
    <row r="86" spans="2:8" x14ac:dyDescent="0.25">
      <c r="B86" s="954" t="s">
        <v>2172</v>
      </c>
      <c r="C86" s="1532" t="s">
        <v>2171</v>
      </c>
      <c r="D86" s="1536"/>
    </row>
    <row r="87" spans="2:8" x14ac:dyDescent="0.25">
      <c r="B87" s="1145" t="s">
        <v>2172</v>
      </c>
      <c r="C87" s="1533" t="s">
        <v>2171</v>
      </c>
      <c r="D87" s="1536"/>
    </row>
    <row r="88" spans="2:8" x14ac:dyDescent="0.25">
      <c r="B88" s="1147" t="s">
        <v>3314</v>
      </c>
      <c r="C88" s="1534">
        <f>SUM(C85:C87,C73:C78)</f>
        <v>7000</v>
      </c>
      <c r="D88" s="1537"/>
    </row>
    <row r="90" spans="2:8" ht="17.399999999999999" x14ac:dyDescent="0.25">
      <c r="B90" s="859" t="s">
        <v>2333</v>
      </c>
      <c r="C90" s="563"/>
      <c r="D90" s="563"/>
      <c r="E90" s="564"/>
      <c r="F90" s="564"/>
      <c r="G90" s="564"/>
    </row>
    <row r="91" spans="2:8" x14ac:dyDescent="0.25">
      <c r="B91" s="1845" t="s">
        <v>2335</v>
      </c>
      <c r="C91" s="1845"/>
      <c r="D91" s="1845"/>
      <c r="E91" s="1845"/>
      <c r="F91" s="1845"/>
      <c r="G91" s="1845"/>
      <c r="H91" s="1845"/>
    </row>
    <row r="92" spans="2:8" x14ac:dyDescent="0.25">
      <c r="B92" s="1707" t="s">
        <v>2334</v>
      </c>
      <c r="C92" s="1707"/>
      <c r="D92" s="1707"/>
      <c r="E92" s="1707"/>
      <c r="F92" s="1707"/>
      <c r="G92" s="1707"/>
    </row>
    <row r="93" spans="2:8" ht="15" customHeight="1" x14ac:dyDescent="0.25">
      <c r="B93" s="1216"/>
      <c r="C93" s="1213"/>
      <c r="D93" s="1213"/>
      <c r="E93" s="1213"/>
      <c r="F93" s="1213"/>
      <c r="G93" s="1213"/>
    </row>
    <row r="94" spans="2:8" x14ac:dyDescent="0.25">
      <c r="B94" s="1834" t="s">
        <v>214</v>
      </c>
      <c r="C94" s="1835"/>
    </row>
    <row r="95" spans="2:8" x14ac:dyDescent="0.25">
      <c r="B95" s="1830" t="s">
        <v>2169</v>
      </c>
      <c r="C95" s="1831"/>
    </row>
    <row r="96" spans="2:8" x14ac:dyDescent="0.25">
      <c r="B96" s="1832" t="s">
        <v>2169</v>
      </c>
      <c r="C96" s="1833"/>
    </row>
    <row r="97" spans="2:7" x14ac:dyDescent="0.25">
      <c r="B97" s="1832"/>
      <c r="C97" s="1833"/>
    </row>
    <row r="98" spans="2:7" x14ac:dyDescent="0.25">
      <c r="B98" s="1832"/>
      <c r="C98" s="1833"/>
    </row>
    <row r="99" spans="2:7" x14ac:dyDescent="0.25">
      <c r="B99" s="1832"/>
      <c r="C99" s="1833"/>
    </row>
    <row r="100" spans="2:7" x14ac:dyDescent="0.25">
      <c r="B100" s="1832"/>
      <c r="C100" s="1833"/>
    </row>
    <row r="101" spans="2:7" x14ac:dyDescent="0.25">
      <c r="B101" s="1832"/>
      <c r="C101" s="1833"/>
    </row>
    <row r="102" spans="2:7" x14ac:dyDescent="0.25">
      <c r="B102" s="1853"/>
      <c r="C102" s="1854"/>
    </row>
    <row r="107" spans="2:7" x14ac:dyDescent="0.25">
      <c r="B107" s="1707"/>
      <c r="C107" s="1707"/>
      <c r="D107" s="1707"/>
      <c r="E107" s="1707"/>
      <c r="F107" s="1707"/>
      <c r="G107" s="1707"/>
    </row>
  </sheetData>
  <mergeCells count="48">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56" activePane="bottomLeft" state="frozen"/>
      <selection activeCell="G20" sqref="G20"/>
      <selection pane="bottomLeft" activeCell="C109" sqref="C109"/>
    </sheetView>
  </sheetViews>
  <sheetFormatPr defaultColWidth="11.44140625" defaultRowHeight="13.8" x14ac:dyDescent="0.25"/>
  <cols>
    <col min="1" max="1" width="3.21875" style="395" customWidth="1"/>
    <col min="2" max="2" width="39.77734375" style="395" customWidth="1"/>
    <col min="3" max="3" width="27.21875" style="395" customWidth="1"/>
    <col min="4" max="4" width="39.44140625" style="395" bestFit="1" customWidth="1"/>
    <col min="5" max="5" width="35" style="395" bestFit="1" customWidth="1"/>
    <col min="6" max="6" width="25.21875" style="395" customWidth="1"/>
    <col min="7" max="7" width="22.44140625" style="395" customWidth="1"/>
    <col min="8" max="8" width="23.44140625" style="395" customWidth="1"/>
    <col min="9" max="9" width="38.44140625" style="395" customWidth="1"/>
    <col min="10" max="10" width="28.21875" style="395" customWidth="1"/>
    <col min="11" max="11" width="17" style="395" customWidth="1"/>
    <col min="12" max="12" width="27.21875" style="395" bestFit="1" customWidth="1"/>
    <col min="13" max="13" width="19.44140625" style="395" bestFit="1" customWidth="1"/>
    <col min="14" max="14" width="17.21875" style="395" customWidth="1"/>
    <col min="15" max="15" width="27.21875" style="395" customWidth="1"/>
    <col min="16" max="16" width="16.44140625" style="395" customWidth="1"/>
    <col min="17" max="16384" width="11.44140625" style="395"/>
  </cols>
  <sheetData>
    <row r="1" spans="2:20" s="469" customFormat="1" ht="10.5" customHeight="1" x14ac:dyDescent="0.25">
      <c r="B1" s="618"/>
      <c r="C1" s="618"/>
      <c r="D1" s="618"/>
      <c r="E1" s="618"/>
      <c r="F1" s="618"/>
      <c r="G1" s="618"/>
      <c r="H1" s="618"/>
      <c r="I1" s="618"/>
      <c r="J1" s="1713"/>
      <c r="K1" s="1713"/>
      <c r="L1" s="1713"/>
    </row>
    <row r="2" spans="2:20" s="469" customFormat="1" ht="25.8" x14ac:dyDescent="0.25">
      <c r="B2" s="1860" t="s">
        <v>3196</v>
      </c>
      <c r="C2" s="1860"/>
      <c r="E2" s="622" t="s">
        <v>2241</v>
      </c>
      <c r="F2" s="738"/>
      <c r="G2" s="738"/>
      <c r="H2" s="738"/>
      <c r="K2" s="471"/>
      <c r="L2" s="471"/>
    </row>
    <row r="3" spans="2:20" s="469" customFormat="1" x14ac:dyDescent="0.25">
      <c r="B3" s="472" t="s">
        <v>2336</v>
      </c>
      <c r="C3" s="858"/>
      <c r="E3" s="735" t="str">
        <f>'2. Roles &amp; Pricing'!L3</f>
        <v>ROPE Ready for Upload</v>
      </c>
      <c r="F3" s="729"/>
      <c r="G3" s="732"/>
      <c r="H3" s="736"/>
      <c r="J3" s="470"/>
      <c r="K3" s="471"/>
    </row>
    <row r="4" spans="2:20" s="469" customFormat="1" x14ac:dyDescent="0.25">
      <c r="B4" s="620"/>
      <c r="C4" s="620"/>
      <c r="D4" s="621"/>
      <c r="E4" s="729"/>
      <c r="F4" s="732"/>
      <c r="G4" s="737"/>
      <c r="H4" s="729"/>
      <c r="I4" s="739"/>
      <c r="J4" s="470"/>
      <c r="K4" s="471"/>
    </row>
    <row r="5" spans="2:20" ht="5.55" customHeight="1" x14ac:dyDescent="0.25">
      <c r="B5" s="570"/>
      <c r="C5" s="570"/>
      <c r="D5" s="433"/>
      <c r="E5" s="571"/>
      <c r="F5" s="413"/>
      <c r="G5" s="572"/>
      <c r="H5" s="572"/>
      <c r="I5" s="413"/>
      <c r="J5" s="476"/>
      <c r="K5" s="477"/>
    </row>
    <row r="6" spans="2:20" ht="17.399999999999999" x14ac:dyDescent="0.25">
      <c r="B6" s="740" t="s">
        <v>2</v>
      </c>
      <c r="C6" s="573"/>
      <c r="D6" s="574"/>
      <c r="E6" s="575"/>
      <c r="F6" s="454"/>
      <c r="G6" s="572"/>
      <c r="H6" s="572"/>
      <c r="I6" s="413"/>
      <c r="J6" s="476"/>
      <c r="K6" s="477"/>
    </row>
    <row r="7" spans="2:20" x14ac:dyDescent="0.25">
      <c r="B7" s="1862" t="s">
        <v>3282</v>
      </c>
      <c r="C7" s="1862"/>
      <c r="D7" s="1862"/>
      <c r="E7" s="1862"/>
      <c r="F7" s="1862"/>
      <c r="G7" s="448"/>
      <c r="H7" s="448"/>
      <c r="I7" s="413"/>
      <c r="J7" s="476"/>
      <c r="K7" s="477"/>
    </row>
    <row r="8" spans="2:20" x14ac:dyDescent="0.25">
      <c r="B8" s="404"/>
      <c r="C8" s="570"/>
      <c r="D8" s="433"/>
      <c r="E8" s="571"/>
      <c r="F8" s="413"/>
      <c r="G8" s="572"/>
      <c r="H8" s="572"/>
      <c r="I8" s="413"/>
      <c r="J8" s="476"/>
      <c r="K8" s="477"/>
    </row>
    <row r="9" spans="2:20" ht="17.399999999999999" x14ac:dyDescent="0.25">
      <c r="B9" s="859" t="s">
        <v>2312</v>
      </c>
      <c r="C9" s="576"/>
      <c r="D9" s="577"/>
      <c r="E9" s="578"/>
      <c r="F9" s="578"/>
      <c r="G9" s="561"/>
      <c r="H9" s="561"/>
      <c r="I9" s="561"/>
    </row>
    <row r="10" spans="2:20" ht="21" customHeight="1" x14ac:dyDescent="0.25">
      <c r="B10" s="1663" t="s">
        <v>2379</v>
      </c>
      <c r="C10" s="1663"/>
      <c r="D10" s="1663"/>
      <c r="E10" s="1663"/>
      <c r="F10" s="1663"/>
      <c r="H10" s="579"/>
    </row>
    <row r="11" spans="2:20" ht="16.95" customHeight="1" x14ac:dyDescent="0.25">
      <c r="B11" s="1644" t="s">
        <v>2199</v>
      </c>
      <c r="C11" s="1645"/>
      <c r="D11" s="480"/>
      <c r="E11" s="1861"/>
      <c r="F11" s="1861"/>
      <c r="G11" s="413"/>
      <c r="J11" s="580"/>
      <c r="K11" s="486"/>
      <c r="S11" s="414"/>
      <c r="T11" s="414"/>
    </row>
    <row r="12" spans="2:20" x14ac:dyDescent="0.25">
      <c r="B12" s="865" t="s">
        <v>15</v>
      </c>
      <c r="C12" s="1401" t="str">
        <f>IF('2. Roles &amp; Pricing'!E18="Select Office","Complete Project Inputs",'2. Roles &amp; Pricing'!E18)</f>
        <v>Dallas</v>
      </c>
      <c r="D12" s="494"/>
      <c r="E12" s="581"/>
      <c r="F12" s="582"/>
      <c r="G12" s="413"/>
      <c r="K12" s="583"/>
      <c r="S12" s="584"/>
      <c r="T12" s="461"/>
    </row>
    <row r="13" spans="2:20" x14ac:dyDescent="0.25">
      <c r="B13" s="961" t="s">
        <v>1304</v>
      </c>
      <c r="C13" s="1402" t="str">
        <f>IF(ISBLANK('2. Roles &amp; Pricing'!E19)," ",'2. Roles &amp; Pricing'!E19)</f>
        <v>C Spire</v>
      </c>
      <c r="D13" s="585"/>
      <c r="E13" s="581"/>
      <c r="F13" s="586"/>
      <c r="G13" s="413"/>
      <c r="K13" s="583"/>
      <c r="S13" s="581"/>
      <c r="T13" s="461"/>
    </row>
    <row r="14" spans="2:20" x14ac:dyDescent="0.25">
      <c r="B14" s="961" t="s">
        <v>3573</v>
      </c>
      <c r="C14" s="1402" t="str">
        <f>'2. Roles &amp; Pricing'!E20</f>
        <v>TA Digital</v>
      </c>
      <c r="D14" s="585"/>
      <c r="G14" s="413"/>
      <c r="K14" s="583"/>
      <c r="S14" s="581"/>
      <c r="T14" s="461"/>
    </row>
    <row r="15" spans="2:20" x14ac:dyDescent="0.25">
      <c r="B15" s="961" t="s">
        <v>19</v>
      </c>
      <c r="C15" s="1402" t="str">
        <f>'2. Roles &amp; Pricing'!E21</f>
        <v>TA Digital</v>
      </c>
      <c r="D15" s="494"/>
      <c r="E15" s="1861"/>
      <c r="F15" s="1861"/>
      <c r="G15" s="413"/>
      <c r="K15" s="507"/>
      <c r="S15" s="581"/>
      <c r="T15" s="461"/>
    </row>
    <row r="16" spans="2:20" x14ac:dyDescent="0.25">
      <c r="B16" s="961" t="s">
        <v>3298</v>
      </c>
      <c r="C16" s="1402" t="str">
        <f>'2. Roles &amp; Pricing'!E22</f>
        <v>No</v>
      </c>
      <c r="D16" s="494"/>
      <c r="E16" s="581"/>
      <c r="F16" s="587"/>
      <c r="G16" s="413"/>
      <c r="K16" s="588"/>
      <c r="S16" s="581"/>
      <c r="T16" s="461"/>
    </row>
    <row r="17" spans="2:20" x14ac:dyDescent="0.25">
      <c r="B17" s="962" t="s">
        <v>2064</v>
      </c>
      <c r="C17" s="1402">
        <f>'2. Roles &amp; Pricing'!E23</f>
        <v>1324</v>
      </c>
      <c r="D17" s="494"/>
      <c r="E17" s="581"/>
      <c r="F17" s="589"/>
      <c r="G17" s="413"/>
      <c r="K17" s="590"/>
      <c r="S17" s="591"/>
      <c r="T17" s="411"/>
    </row>
    <row r="18" spans="2:20" x14ac:dyDescent="0.25">
      <c r="B18" s="962" t="s">
        <v>22</v>
      </c>
      <c r="C18" s="1402" t="str">
        <f>'2. Roles &amp; Pricing'!E24</f>
        <v>Green Dot Marketing 2025</v>
      </c>
      <c r="D18" s="592"/>
      <c r="E18" s="581"/>
      <c r="F18" s="589"/>
      <c r="G18" s="413"/>
      <c r="K18" s="590"/>
      <c r="S18" s="591"/>
      <c r="T18" s="411"/>
    </row>
    <row r="19" spans="2:20" x14ac:dyDescent="0.25">
      <c r="B19" s="962" t="s">
        <v>23</v>
      </c>
      <c r="C19" s="1403" t="str">
        <f>'2. Roles &amp; Pricing'!E25</f>
        <v>Digital - Systems Implementation</v>
      </c>
      <c r="D19" s="593"/>
      <c r="E19" s="581"/>
      <c r="F19" s="589"/>
      <c r="G19" s="413"/>
      <c r="K19" s="590"/>
      <c r="S19" s="591"/>
      <c r="T19" s="411"/>
    </row>
    <row r="20" spans="2:20" x14ac:dyDescent="0.25">
      <c r="B20" s="962" t="s">
        <v>49</v>
      </c>
      <c r="C20" s="1403" t="str">
        <f>'2. Roles &amp; Pricing'!E26</f>
        <v>Standard Rates</v>
      </c>
      <c r="D20" s="494"/>
      <c r="E20" s="581"/>
      <c r="F20" s="586"/>
      <c r="G20" s="413"/>
      <c r="S20" s="591"/>
      <c r="T20" s="411"/>
    </row>
    <row r="21" spans="2:20" x14ac:dyDescent="0.25">
      <c r="B21" s="961" t="s">
        <v>1890</v>
      </c>
      <c r="C21" s="1404">
        <f>'2. Roles &amp; Pricing'!E28</f>
        <v>45916</v>
      </c>
      <c r="D21" s="494"/>
      <c r="G21" s="413"/>
      <c r="S21" s="591"/>
      <c r="T21" s="411"/>
    </row>
    <row r="22" spans="2:20" ht="14.55" customHeight="1" x14ac:dyDescent="0.25">
      <c r="B22" s="961" t="s">
        <v>50</v>
      </c>
      <c r="C22" s="1405" t="str">
        <f>'2. Roles &amp; Pricing'!E29</f>
        <v>T&amp;M</v>
      </c>
      <c r="D22" s="585"/>
      <c r="E22" s="594"/>
      <c r="F22" s="594"/>
      <c r="G22" s="413"/>
      <c r="S22" s="581"/>
      <c r="T22" s="595"/>
    </row>
    <row r="23" spans="2:20" x14ac:dyDescent="0.25">
      <c r="B23" s="961" t="s">
        <v>27</v>
      </c>
      <c r="C23" s="1403">
        <f>'2. Roles &amp; Pricing'!E30</f>
        <v>30</v>
      </c>
      <c r="D23" s="413"/>
      <c r="E23" s="594"/>
      <c r="F23" s="594"/>
      <c r="G23" s="413"/>
      <c r="S23" s="581"/>
      <c r="T23" s="596"/>
    </row>
    <row r="24" spans="2:20" x14ac:dyDescent="0.25">
      <c r="B24" s="961" t="s">
        <v>1890</v>
      </c>
      <c r="C24" s="1404">
        <f>'1. Project Inputs'!C27</f>
        <v>45916</v>
      </c>
      <c r="D24" s="413"/>
      <c r="E24" s="594"/>
      <c r="F24" s="594"/>
      <c r="G24" s="413"/>
      <c r="S24" s="581"/>
      <c r="T24" s="596"/>
    </row>
    <row r="25" spans="2:20" x14ac:dyDescent="0.25">
      <c r="B25" s="961" t="s">
        <v>3211</v>
      </c>
      <c r="C25" s="1405" t="str">
        <f>IF(C14="Credera US","Projector","Dynamics")</f>
        <v>Dynamics</v>
      </c>
      <c r="D25" s="413"/>
      <c r="E25" s="594"/>
      <c r="F25" s="594"/>
      <c r="G25" s="413"/>
      <c r="S25" s="581"/>
      <c r="T25" s="596"/>
    </row>
    <row r="26" spans="2:20" x14ac:dyDescent="0.25">
      <c r="B26" s="963" t="s">
        <v>2066</v>
      </c>
      <c r="C26" s="1406">
        <f>'1. Project Inputs'!C29</f>
        <v>30</v>
      </c>
      <c r="D26" s="413"/>
      <c r="E26" s="594"/>
      <c r="F26" s="594"/>
      <c r="G26" s="413"/>
      <c r="S26" s="581"/>
      <c r="T26" s="596"/>
    </row>
    <row r="27" spans="2:20" hidden="1" x14ac:dyDescent="0.25">
      <c r="B27" s="956" t="s">
        <v>2276</v>
      </c>
      <c r="C27" s="957" t="str">
        <f>'1. Project Inputs'!C30</f>
        <v>Select Currency</v>
      </c>
      <c r="D27" s="413"/>
      <c r="E27" s="594"/>
      <c r="F27" s="594"/>
      <c r="G27" s="413"/>
      <c r="S27" s="581"/>
      <c r="T27" s="596"/>
    </row>
    <row r="28" spans="2:20" x14ac:dyDescent="0.25">
      <c r="B28" s="581"/>
      <c r="C28" s="599"/>
      <c r="D28" s="413"/>
      <c r="E28" s="594"/>
      <c r="F28" s="594"/>
      <c r="G28" s="413"/>
      <c r="S28" s="581"/>
      <c r="T28" s="596"/>
    </row>
    <row r="29" spans="2:20" ht="17.399999999999999" x14ac:dyDescent="0.25">
      <c r="B29" s="860" t="s">
        <v>2338</v>
      </c>
      <c r="C29" s="597"/>
      <c r="D29" s="454"/>
      <c r="E29" s="598"/>
      <c r="F29" s="598"/>
      <c r="G29" s="413"/>
      <c r="S29" s="581"/>
      <c r="T29" s="596"/>
    </row>
    <row r="30" spans="2:20" ht="17.399999999999999" x14ac:dyDescent="0.25">
      <c r="B30" s="1235"/>
      <c r="C30" s="599"/>
      <c r="D30" s="413"/>
      <c r="E30" s="594"/>
      <c r="F30" s="594"/>
      <c r="G30" s="413"/>
      <c r="S30" s="581"/>
      <c r="T30" s="596"/>
    </row>
    <row r="31" spans="2:20" ht="17.399999999999999" x14ac:dyDescent="0.25">
      <c r="B31" s="860" t="s">
        <v>2339</v>
      </c>
      <c r="C31" s="597"/>
      <c r="D31" s="454"/>
      <c r="E31" s="598"/>
      <c r="F31" s="598"/>
      <c r="G31" s="413"/>
      <c r="S31" s="581"/>
      <c r="T31" s="596"/>
    </row>
    <row r="32" spans="2:20" x14ac:dyDescent="0.25">
      <c r="B32" s="1663" t="s">
        <v>2337</v>
      </c>
      <c r="C32" s="1663"/>
      <c r="D32" s="1663"/>
      <c r="E32" s="1663"/>
      <c r="F32" s="1663"/>
      <c r="H32" s="579"/>
    </row>
    <row r="33" spans="2:20" x14ac:dyDescent="0.25">
      <c r="B33" s="1663" t="s">
        <v>3300</v>
      </c>
      <c r="C33" s="1663"/>
      <c r="D33" s="1663"/>
      <c r="E33" s="1663"/>
      <c r="F33" s="1663"/>
      <c r="G33" s="413"/>
      <c r="S33" s="581"/>
      <c r="T33" s="596"/>
    </row>
    <row r="34" spans="2:20" ht="17.399999999999999" x14ac:dyDescent="0.25">
      <c r="B34" s="1235"/>
      <c r="C34" s="599"/>
      <c r="D34" s="413"/>
      <c r="E34" s="594"/>
      <c r="F34" s="594"/>
      <c r="G34" s="413"/>
      <c r="S34" s="581"/>
      <c r="T34" s="596"/>
    </row>
    <row r="35" spans="2:20" x14ac:dyDescent="0.25">
      <c r="B35" s="1644" t="s">
        <v>3209</v>
      </c>
      <c r="C35" s="1645"/>
      <c r="D35" s="413"/>
      <c r="E35" s="594"/>
      <c r="F35" s="594"/>
      <c r="G35" s="413"/>
      <c r="S35" s="581"/>
      <c r="T35" s="596"/>
    </row>
    <row r="36" spans="2:20" x14ac:dyDescent="0.25">
      <c r="B36" s="964" t="s">
        <v>2080</v>
      </c>
      <c r="C36" s="1407">
        <f>C61</f>
        <v>997395</v>
      </c>
      <c r="D36" s="413"/>
      <c r="E36" s="594"/>
      <c r="F36" s="594"/>
      <c r="G36" s="413"/>
      <c r="S36" s="581"/>
      <c r="T36" s="596"/>
    </row>
    <row r="37" spans="2:20" x14ac:dyDescent="0.25">
      <c r="B37" s="963" t="s">
        <v>3227</v>
      </c>
      <c r="C37" s="1408">
        <f>C53</f>
        <v>0.58280428841706955</v>
      </c>
      <c r="D37" s="413"/>
      <c r="E37" s="594"/>
      <c r="F37" s="594"/>
      <c r="G37" s="413"/>
      <c r="S37" s="581"/>
      <c r="T37" s="596"/>
    </row>
    <row r="38" spans="2:20" x14ac:dyDescent="0.25">
      <c r="B38" s="581"/>
      <c r="C38" s="599"/>
      <c r="D38" s="413"/>
      <c r="E38" s="594"/>
      <c r="F38" s="594"/>
      <c r="G38" s="413"/>
      <c r="S38" s="581"/>
      <c r="T38" s="596"/>
    </row>
    <row r="39" spans="2:20" ht="17.399999999999999" x14ac:dyDescent="0.25">
      <c r="B39" s="860" t="s">
        <v>3197</v>
      </c>
      <c r="C39" s="597"/>
      <c r="D39" s="454"/>
      <c r="E39" s="598"/>
      <c r="F39" s="598"/>
      <c r="G39" s="413"/>
      <c r="S39" s="581"/>
      <c r="T39" s="596"/>
    </row>
    <row r="40" spans="2:20" x14ac:dyDescent="0.25">
      <c r="B40" s="1663" t="s">
        <v>3186</v>
      </c>
      <c r="C40" s="1663"/>
      <c r="D40" s="1663"/>
      <c r="E40" s="1663"/>
      <c r="F40" s="1663"/>
      <c r="H40" s="579"/>
    </row>
    <row r="41" spans="2:20" x14ac:dyDescent="0.25">
      <c r="B41" s="1663" t="s">
        <v>3283</v>
      </c>
      <c r="C41" s="1663"/>
      <c r="D41" s="1663"/>
      <c r="E41" s="1663"/>
      <c r="F41" s="1663"/>
      <c r="G41" s="413"/>
      <c r="S41" s="581"/>
      <c r="T41" s="596"/>
    </row>
    <row r="42" spans="2:20" ht="30" customHeight="1" x14ac:dyDescent="0.25">
      <c r="B42" s="1742" t="s">
        <v>3194</v>
      </c>
      <c r="C42" s="1742"/>
      <c r="D42" s="1742"/>
      <c r="E42" s="1742"/>
      <c r="F42" s="1742"/>
      <c r="G42" s="413"/>
      <c r="S42" s="581"/>
      <c r="T42" s="596"/>
    </row>
    <row r="43" spans="2:20" ht="17.399999999999999" x14ac:dyDescent="0.25">
      <c r="B43" s="1235"/>
      <c r="C43" s="599"/>
      <c r="D43" s="413"/>
      <c r="E43" s="594"/>
      <c r="F43" s="594"/>
      <c r="G43" s="413"/>
      <c r="S43" s="581"/>
      <c r="T43" s="596"/>
    </row>
    <row r="44" spans="2:20" x14ac:dyDescent="0.25">
      <c r="B44" s="1644" t="s">
        <v>3210</v>
      </c>
      <c r="C44" s="1645"/>
      <c r="D44" s="413"/>
      <c r="E44" s="594"/>
      <c r="F44" s="594"/>
      <c r="G44" s="413"/>
      <c r="S44" s="581"/>
      <c r="T44" s="596"/>
    </row>
    <row r="45" spans="2:20" x14ac:dyDescent="0.25">
      <c r="B45" s="964" t="s">
        <v>2087</v>
      </c>
      <c r="C45" s="1409">
        <f>IF(OR(C23="T&amp;M",C23="T&amp;M NTE"),C60,C61)</f>
        <v>997395</v>
      </c>
      <c r="D45" s="413"/>
      <c r="E45" s="594"/>
      <c r="F45" s="594"/>
      <c r="G45" s="413"/>
      <c r="S45" s="581"/>
      <c r="T45" s="596"/>
    </row>
    <row r="46" spans="2:20" x14ac:dyDescent="0.25">
      <c r="B46" s="961" t="s">
        <v>2088</v>
      </c>
      <c r="C46" s="1410">
        <f>COUNTA('2. Roles &amp; Pricing'!K48:K147)</f>
        <v>8</v>
      </c>
      <c r="D46" s="413"/>
      <c r="E46" s="594"/>
      <c r="F46" s="594"/>
      <c r="G46" s="413"/>
      <c r="S46" s="581"/>
      <c r="T46" s="596"/>
    </row>
    <row r="47" spans="2:20" x14ac:dyDescent="0.25">
      <c r="B47" s="961" t="s">
        <v>2089</v>
      </c>
      <c r="C47" s="1410">
        <f>J105</f>
        <v>0</v>
      </c>
      <c r="D47" s="413"/>
      <c r="E47" s="594"/>
      <c r="F47" s="594"/>
      <c r="G47" s="413"/>
      <c r="S47" s="581"/>
      <c r="T47" s="596"/>
    </row>
    <row r="48" spans="2:20" x14ac:dyDescent="0.25">
      <c r="B48" s="963" t="s">
        <v>2099</v>
      </c>
      <c r="C48" s="1411">
        <f>SUM('2. Roles &amp; Pricing'!D160:BC160)</f>
        <v>0</v>
      </c>
      <c r="D48" s="413" t="s">
        <v>13</v>
      </c>
      <c r="E48" s="594"/>
      <c r="F48" s="594"/>
      <c r="G48" s="413"/>
      <c r="S48" s="581"/>
      <c r="T48" s="596"/>
    </row>
    <row r="49" spans="2:20" x14ac:dyDescent="0.25">
      <c r="E49" s="594"/>
      <c r="F49" s="594"/>
      <c r="S49" s="581"/>
      <c r="T49" s="461"/>
    </row>
    <row r="50" spans="2:20" ht="21" customHeight="1" x14ac:dyDescent="0.25">
      <c r="B50" s="859" t="s">
        <v>3226</v>
      </c>
      <c r="C50" s="564"/>
      <c r="D50" s="475"/>
      <c r="E50" s="475"/>
      <c r="F50" s="475"/>
    </row>
    <row r="51" spans="2:20" ht="19.95" customHeight="1" x14ac:dyDescent="0.25">
      <c r="B51" s="1718" t="s">
        <v>2309</v>
      </c>
      <c r="C51" s="1718"/>
      <c r="D51" s="1718"/>
      <c r="E51" s="1718"/>
      <c r="F51" s="1718"/>
    </row>
    <row r="52" spans="2:20" ht="19.95" customHeight="1" x14ac:dyDescent="0.25">
      <c r="B52" s="1644" t="s">
        <v>3394</v>
      </c>
      <c r="C52" s="1645"/>
      <c r="E52" s="413"/>
      <c r="J52" s="492"/>
      <c r="K52" s="600"/>
      <c r="L52" s="492"/>
    </row>
    <row r="53" spans="2:20" x14ac:dyDescent="0.25">
      <c r="B53" s="1240" t="s">
        <v>1673</v>
      </c>
      <c r="C53" s="1412">
        <f>IFERROR((C72-C79)/C72,"")</f>
        <v>0.58280428841706955</v>
      </c>
      <c r="E53" s="413"/>
      <c r="J53" s="495"/>
      <c r="K53" s="601"/>
      <c r="L53" s="496"/>
    </row>
    <row r="54" spans="2:20" x14ac:dyDescent="0.25">
      <c r="B54" s="867" t="s">
        <v>111</v>
      </c>
      <c r="C54" s="1413">
        <f>IFERROR('2. Roles &amp; Pricing'!$D$289/'2. Roles &amp; Pricing'!M289,"")</f>
        <v>106.39810426540285</v>
      </c>
      <c r="E54" s="413"/>
      <c r="J54" s="495"/>
      <c r="K54" s="601"/>
      <c r="L54" s="496"/>
    </row>
    <row r="55" spans="2:20" x14ac:dyDescent="0.25">
      <c r="B55" s="1239" t="s">
        <v>2093</v>
      </c>
      <c r="C55" s="1414">
        <f>IFERROR(($C$71+$C$67*(1+C56)),"Enter Contingency % on Summary Inputs")</f>
        <v>949900</v>
      </c>
      <c r="E55" s="602"/>
      <c r="J55" s="495"/>
      <c r="K55" s="601"/>
      <c r="L55" s="496"/>
      <c r="T55" s="603"/>
    </row>
    <row r="56" spans="2:20" ht="13.95" customHeight="1" x14ac:dyDescent="0.25">
      <c r="B56" s="1567" t="s">
        <v>2079</v>
      </c>
      <c r="C56" s="1872">
        <f>'3. Financial Inputs'!C17</f>
        <v>0.05</v>
      </c>
      <c r="E56" s="484"/>
      <c r="J56" s="495"/>
      <c r="K56" s="601"/>
      <c r="L56" s="496"/>
    </row>
    <row r="57" spans="2:20" ht="13.95" customHeight="1" x14ac:dyDescent="0.25">
      <c r="B57" s="1568" t="s">
        <v>3414</v>
      </c>
      <c r="C57" s="1873"/>
      <c r="E57" s="484"/>
      <c r="J57" s="495"/>
      <c r="K57" s="601"/>
      <c r="L57" s="496"/>
    </row>
    <row r="58" spans="2:20" ht="13.95" customHeight="1" x14ac:dyDescent="0.25">
      <c r="B58" s="965" t="s">
        <v>1468</v>
      </c>
      <c r="C58" s="1415">
        <f>IF('3. Financial Inputs'!C67="",0,'3. Financial Inputs'!C67)</f>
        <v>0</v>
      </c>
      <c r="E58" s="484"/>
      <c r="J58" s="495"/>
      <c r="K58" s="601"/>
      <c r="L58" s="496"/>
      <c r="T58" s="604"/>
    </row>
    <row r="59" spans="2:20" x14ac:dyDescent="0.25">
      <c r="B59" s="1236" t="s">
        <v>1674</v>
      </c>
      <c r="C59" s="1416">
        <f>SUM('3. Financial Inputs'!C85:C87)</f>
        <v>0</v>
      </c>
      <c r="E59" s="413"/>
      <c r="J59" s="495"/>
      <c r="K59" s="601"/>
      <c r="L59" s="496"/>
      <c r="T59" s="603"/>
    </row>
    <row r="60" spans="2:20" x14ac:dyDescent="0.25">
      <c r="B60" s="1237" t="s">
        <v>2085</v>
      </c>
      <c r="C60" s="1541">
        <f>IFERROR(C55-C58,"Incomplete Project Information")</f>
        <v>949900</v>
      </c>
      <c r="E60" s="484"/>
      <c r="J60" s="495"/>
      <c r="K60" s="601"/>
      <c r="L60" s="496"/>
      <c r="T60" s="605"/>
    </row>
    <row r="61" spans="2:20" x14ac:dyDescent="0.25">
      <c r="B61" s="1238" t="s">
        <v>2081</v>
      </c>
      <c r="C61" s="1540">
        <f>IFERROR(C60*(1+C56),"Incomplete Project Information")</f>
        <v>997395</v>
      </c>
      <c r="E61" s="413"/>
      <c r="J61" s="495"/>
      <c r="K61" s="601"/>
      <c r="L61" s="496"/>
      <c r="T61" s="603"/>
    </row>
    <row r="62" spans="2:20" ht="18" customHeight="1" x14ac:dyDescent="0.25">
      <c r="B62" s="606"/>
      <c r="E62" s="413"/>
      <c r="J62" s="495"/>
      <c r="K62" s="601"/>
      <c r="L62" s="496"/>
      <c r="T62" s="605"/>
    </row>
    <row r="63" spans="2:20" ht="18" customHeight="1" x14ac:dyDescent="0.25">
      <c r="B63" s="413"/>
      <c r="C63" s="413"/>
      <c r="D63" s="413"/>
      <c r="E63" s="413"/>
      <c r="J63" s="495"/>
      <c r="K63" s="601"/>
      <c r="L63" s="496"/>
      <c r="T63" s="605"/>
    </row>
    <row r="64" spans="2:20" ht="18" customHeight="1" x14ac:dyDescent="0.25">
      <c r="B64" s="859" t="s">
        <v>3317</v>
      </c>
      <c r="C64" s="576"/>
      <c r="D64" s="413"/>
      <c r="E64" s="1543"/>
      <c r="J64" s="495"/>
      <c r="K64" s="601"/>
      <c r="L64" s="496"/>
      <c r="T64" s="605"/>
    </row>
    <row r="65" spans="2:20" ht="28.95" customHeight="1" x14ac:dyDescent="0.25">
      <c r="B65" s="1871" t="s">
        <v>3195</v>
      </c>
      <c r="C65" s="1871"/>
      <c r="D65" s="1542"/>
      <c r="E65" s="1542"/>
      <c r="F65" s="1542"/>
      <c r="J65" s="495"/>
      <c r="K65" s="601"/>
      <c r="L65" s="496"/>
      <c r="T65" s="605"/>
    </row>
    <row r="66" spans="2:20" ht="18" customHeight="1" x14ac:dyDescent="0.25">
      <c r="B66" s="1646" t="s">
        <v>3395</v>
      </c>
      <c r="C66" s="1647"/>
      <c r="D66" s="413"/>
      <c r="E66" s="413"/>
      <c r="J66" s="495"/>
      <c r="K66" s="601"/>
      <c r="L66" s="496"/>
      <c r="T66" s="605"/>
    </row>
    <row r="67" spans="2:20" ht="18" customHeight="1" x14ac:dyDescent="0.25">
      <c r="B67" s="966" t="s">
        <v>3320</v>
      </c>
      <c r="C67" s="1417">
        <f>IFERROR('2. Roles &amp; Pricing'!D289,0)</f>
        <v>898000</v>
      </c>
      <c r="D67" s="413"/>
      <c r="E67" s="413"/>
      <c r="J67" s="495"/>
      <c r="K67" s="601"/>
      <c r="L67" s="496"/>
      <c r="T67" s="605"/>
    </row>
    <row r="68" spans="2:20" ht="18" customHeight="1" x14ac:dyDescent="0.25">
      <c r="B68" s="967" t="s">
        <v>2091</v>
      </c>
      <c r="C68" s="1419">
        <f>'3. Financial Inputs'!C77</f>
        <v>1500</v>
      </c>
      <c r="D68" s="413"/>
      <c r="E68" s="413"/>
      <c r="J68" s="495"/>
      <c r="K68" s="601"/>
      <c r="L68" s="496"/>
      <c r="T68" s="605"/>
    </row>
    <row r="69" spans="2:20" ht="18" customHeight="1" x14ac:dyDescent="0.25">
      <c r="B69" s="969" t="s">
        <v>3293</v>
      </c>
      <c r="C69" s="1420">
        <f>C67*C56</f>
        <v>44900</v>
      </c>
      <c r="D69" s="413"/>
      <c r="E69" s="413"/>
      <c r="J69" s="495"/>
      <c r="K69" s="601"/>
      <c r="L69" s="496"/>
      <c r="T69" s="605"/>
    </row>
    <row r="70" spans="2:20" ht="18" customHeight="1" x14ac:dyDescent="0.25">
      <c r="B70" s="969" t="s">
        <v>1468</v>
      </c>
      <c r="C70" s="1420">
        <f>-1*'3. Financial Inputs'!C67</f>
        <v>0</v>
      </c>
      <c r="D70" s="413"/>
      <c r="E70" s="413"/>
      <c r="J70" s="495"/>
      <c r="K70" s="601"/>
      <c r="L70" s="496"/>
      <c r="T70" s="605"/>
    </row>
    <row r="71" spans="2:20" x14ac:dyDescent="0.25">
      <c r="B71" s="969" t="s">
        <v>3318</v>
      </c>
      <c r="C71" s="1420">
        <f>'3. Financial Inputs'!C88</f>
        <v>7000</v>
      </c>
      <c r="D71" s="413"/>
      <c r="E71" s="413"/>
      <c r="J71" s="495"/>
      <c r="K71" s="601"/>
      <c r="L71" s="496"/>
    </row>
    <row r="72" spans="2:20" ht="18" customHeight="1" x14ac:dyDescent="0.25">
      <c r="B72" s="968" t="s">
        <v>3319</v>
      </c>
      <c r="C72" s="1421">
        <f>SUM(C67:C71)</f>
        <v>951400</v>
      </c>
      <c r="D72" s="413"/>
      <c r="E72" s="413"/>
      <c r="J72" s="495"/>
      <c r="K72" s="601"/>
      <c r="L72" s="496"/>
    </row>
    <row r="73" spans="2:20" x14ac:dyDescent="0.25">
      <c r="B73" s="1538"/>
      <c r="C73" s="1539"/>
      <c r="D73" s="413"/>
      <c r="E73" s="413"/>
      <c r="J73" s="495"/>
      <c r="K73" s="601"/>
      <c r="L73" s="496"/>
    </row>
    <row r="74" spans="2:20" ht="17.399999999999999" x14ac:dyDescent="0.25">
      <c r="B74" s="859" t="s">
        <v>3315</v>
      </c>
      <c r="C74" s="576"/>
      <c r="D74" s="413"/>
      <c r="E74" s="413"/>
      <c r="J74" s="495"/>
      <c r="K74" s="601"/>
      <c r="L74" s="496"/>
    </row>
    <row r="75" spans="2:20" ht="28.5" customHeight="1" x14ac:dyDescent="0.25">
      <c r="B75" s="1871" t="s">
        <v>3195</v>
      </c>
      <c r="C75" s="1871"/>
      <c r="D75" s="1542"/>
      <c r="E75" s="1542"/>
      <c r="F75" s="1542"/>
      <c r="J75" s="495"/>
      <c r="K75" s="601"/>
      <c r="L75" s="496"/>
    </row>
    <row r="76" spans="2:20" x14ac:dyDescent="0.25">
      <c r="B76" s="1646" t="s">
        <v>3316</v>
      </c>
      <c r="C76" s="1647"/>
      <c r="D76" s="413"/>
      <c r="E76" s="413"/>
      <c r="J76" s="495"/>
      <c r="K76" s="601"/>
      <c r="L76" s="496"/>
    </row>
    <row r="77" spans="2:20" x14ac:dyDescent="0.25">
      <c r="B77" s="967" t="s">
        <v>239</v>
      </c>
      <c r="C77" s="1418">
        <f>SUM('2. Roles &amp; Pricing'!$F$291:$F$390)</f>
        <v>394920</v>
      </c>
      <c r="D77" s="413"/>
      <c r="E77" s="413"/>
      <c r="J77" s="495"/>
      <c r="K77" s="601"/>
      <c r="L77" s="496"/>
    </row>
    <row r="78" spans="2:20" ht="13.95" customHeight="1" x14ac:dyDescent="0.25">
      <c r="B78" s="967" t="s">
        <v>2090</v>
      </c>
      <c r="C78" s="1419">
        <f>'3. Financial Inputs'!C78</f>
        <v>2000</v>
      </c>
      <c r="D78" s="413"/>
      <c r="E78" s="413"/>
      <c r="J78" s="495"/>
      <c r="K78" s="601"/>
      <c r="L78" s="496"/>
    </row>
    <row r="79" spans="2:20" ht="16.5" customHeight="1" x14ac:dyDescent="0.25">
      <c r="B79" s="968" t="s">
        <v>2092</v>
      </c>
      <c r="C79" s="1421">
        <f>SUM(C77:C78)</f>
        <v>396920</v>
      </c>
      <c r="D79" s="413"/>
      <c r="E79" s="413"/>
      <c r="J79" s="495"/>
      <c r="K79" s="601"/>
      <c r="L79" s="496"/>
    </row>
    <row r="80" spans="2:20" x14ac:dyDescent="0.25">
      <c r="B80" s="413"/>
      <c r="C80" s="413"/>
      <c r="D80" s="413"/>
      <c r="E80" s="413"/>
      <c r="J80" s="441"/>
      <c r="K80" s="442"/>
      <c r="L80" s="501"/>
    </row>
    <row r="81" spans="2:12" x14ac:dyDescent="0.25">
      <c r="B81" s="413"/>
      <c r="C81" s="413"/>
      <c r="D81" s="413"/>
      <c r="E81" s="413"/>
      <c r="F81" s="607"/>
      <c r="G81" s="501"/>
      <c r="H81" s="608"/>
      <c r="I81" s="608"/>
    </row>
    <row r="82" spans="2:12" ht="17.399999999999999" x14ac:dyDescent="0.3">
      <c r="B82" s="861" t="s">
        <v>3321</v>
      </c>
      <c r="C82" s="475"/>
      <c r="D82" s="475"/>
      <c r="E82" s="475"/>
      <c r="F82" s="475"/>
    </row>
    <row r="83" spans="2:12" x14ac:dyDescent="0.25">
      <c r="B83" s="1870"/>
      <c r="C83" s="1870"/>
      <c r="D83" s="1870"/>
      <c r="E83" s="1870"/>
      <c r="F83" s="1870"/>
      <c r="L83" s="412"/>
    </row>
    <row r="84" spans="2:12" x14ac:dyDescent="0.25">
      <c r="B84" s="1863" t="s">
        <v>188</v>
      </c>
      <c r="C84" s="1864"/>
      <c r="E84" s="429"/>
      <c r="L84" s="412"/>
    </row>
    <row r="85" spans="2:12" x14ac:dyDescent="0.25">
      <c r="B85" s="1148" t="s">
        <v>190</v>
      </c>
      <c r="C85" s="1463">
        <f>IFERROR((SUMIF('2. Roles &amp; Pricing'!W48:W147,"Offshore",'2. Roles &amp; Pricing'!D291:D390))/SUMIF('2. Roles &amp; Pricing'!W48:W147,"Offshore",'2. Roles &amp; Pricing'!M291:M390),"")</f>
        <v>57.851239669421489</v>
      </c>
      <c r="E85" s="429"/>
      <c r="L85" s="412"/>
    </row>
    <row r="86" spans="2:12" x14ac:dyDescent="0.25">
      <c r="B86" s="1149" t="s">
        <v>191</v>
      </c>
      <c r="C86" s="1422">
        <f>IFERROR((SUMIF('2. Roles &amp; Pricing'!W48:W147,"Onshore",'2. Roles &amp; Pricing'!D291:D390))/SUMIF('2. Roles &amp; Pricing'!W48:W147,"Onshore",'2. Roles &amp; Pricing'!M291:M390),"")</f>
        <v>171.66666666666666</v>
      </c>
      <c r="E86" s="429"/>
      <c r="L86" s="412"/>
    </row>
    <row r="87" spans="2:12" x14ac:dyDescent="0.25">
      <c r="B87" s="1149" t="s">
        <v>192</v>
      </c>
      <c r="C87" s="1423">
        <f>IFERROR((COUNTIF('2. Roles &amp; Pricing'!W48:W147,"Offshore")/SUM(COUNTIF('2. Roles &amp; Pricing'!W48:W147,"Onshore"),COUNTIF('2. Roles &amp; Pricing'!W48:W147,"Offshore"))),"")</f>
        <v>0.625</v>
      </c>
      <c r="E87" s="429"/>
      <c r="L87" s="412"/>
    </row>
    <row r="88" spans="2:12" x14ac:dyDescent="0.25">
      <c r="B88" s="1149" t="s">
        <v>111</v>
      </c>
      <c r="C88" s="1422">
        <f>IFERROR('2. Roles &amp; Pricing'!D289/'2. Roles &amp; Pricing'!M289,"")</f>
        <v>106.39810426540285</v>
      </c>
      <c r="E88" s="429"/>
      <c r="L88" s="412"/>
    </row>
    <row r="89" spans="2:12" x14ac:dyDescent="0.25">
      <c r="B89" s="1149" t="s">
        <v>194</v>
      </c>
      <c r="C89" s="1424">
        <f>COUNTIF('2. Roles &amp; Pricing'!$Y48:$Y147,"&gt;=21")</f>
        <v>7</v>
      </c>
      <c r="E89" s="429"/>
      <c r="L89" s="412"/>
    </row>
    <row r="90" spans="2:12" x14ac:dyDescent="0.25">
      <c r="B90" s="1149" t="s">
        <v>195</v>
      </c>
      <c r="C90" s="1424">
        <f>COUNTIFS('2. Roles &amp; Pricing'!Y48:Y147,"&lt;=20")</f>
        <v>1</v>
      </c>
      <c r="E90" s="429"/>
      <c r="L90" s="412"/>
    </row>
    <row r="91" spans="2:12" x14ac:dyDescent="0.25">
      <c r="B91" s="1149" t="s">
        <v>196</v>
      </c>
      <c r="C91" s="1425">
        <f>'2. Roles &amp; Pricing'!M289</f>
        <v>8440</v>
      </c>
      <c r="E91" s="429"/>
      <c r="L91" s="412"/>
    </row>
    <row r="92" spans="2:12" x14ac:dyDescent="0.25">
      <c r="B92" s="1150" t="s">
        <v>197</v>
      </c>
      <c r="C92" s="1426">
        <f>IFERROR(SUM(SUMIFS('2. Roles &amp; Pricing'!M291:M390,'2. Roles &amp; Pricing'!V48:V147,"7"),SUMIFS('2. Roles &amp; Pricing'!M291:M390,'2. Roles &amp; Pricing'!V48:V147,"6"))/('2. Roles &amp; Pricing'!M289),"")</f>
        <v>0</v>
      </c>
      <c r="E92" s="429"/>
      <c r="L92" s="412"/>
    </row>
    <row r="93" spans="2:12" x14ac:dyDescent="0.25">
      <c r="B93" s="1121" t="s">
        <v>198</v>
      </c>
      <c r="C93" s="1427">
        <f>COUNTA('2. Roles &amp; Pricing'!K48:K147)</f>
        <v>8</v>
      </c>
      <c r="E93" s="429"/>
      <c r="L93" s="412"/>
    </row>
    <row r="94" spans="2:12" x14ac:dyDescent="0.25">
      <c r="E94" s="429"/>
      <c r="L94" s="412"/>
    </row>
    <row r="95" spans="2:12" x14ac:dyDescent="0.25">
      <c r="E95" s="429"/>
      <c r="L95" s="412"/>
    </row>
    <row r="96" spans="2:12" x14ac:dyDescent="0.25">
      <c r="B96" s="1646" t="s">
        <v>199</v>
      </c>
      <c r="C96" s="1869"/>
      <c r="D96" s="1869"/>
      <c r="E96" s="1869"/>
      <c r="F96" s="1647"/>
      <c r="H96" s="1868"/>
      <c r="I96" s="1868"/>
      <c r="J96" s="1868"/>
    </row>
    <row r="97" spans="2:10" x14ac:dyDescent="0.25">
      <c r="B97" s="718" t="s">
        <v>200</v>
      </c>
      <c r="C97" s="719" t="s">
        <v>103</v>
      </c>
      <c r="D97" s="720" t="s">
        <v>201</v>
      </c>
      <c r="E97" s="721" t="s">
        <v>202</v>
      </c>
      <c r="F97" s="722" t="s">
        <v>227</v>
      </c>
      <c r="H97" s="603"/>
      <c r="I97" s="458"/>
      <c r="J97" s="458"/>
    </row>
    <row r="98" spans="2:10" x14ac:dyDescent="0.25">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25">
      <c r="B99" s="1152" t="s">
        <v>204</v>
      </c>
      <c r="C99" s="1432">
        <f>SUMIFS('2. Roles &amp; Pricing'!$M$291:$M$390,'2. Roles &amp; Pricing'!$C$48:$C$147,"TADIndia")+SUMIFS('2. Roles &amp; Pricing'!$M$291:$M$390,'2. Roles &amp; Pricing'!$C$48:$C$147,"TADNorthAmerica")</f>
        <v>8440</v>
      </c>
      <c r="D99" s="1429">
        <f>IFERROR(C99/'2. Roles &amp; Pricing'!$M$289,"")</f>
        <v>1</v>
      </c>
      <c r="E99" s="1433">
        <f>SUMIF('2. Roles &amp; Pricing'!$C$48:$C$147,"TADIndia",'2. Roles &amp; Pricing'!$D$291:$D$390)+SUMIF('2. Roles &amp; Pricing'!$C$48:$C$147,"TADNorthAmerica",'2. Roles &amp; Pricing'!$D$291:$D$390)</f>
        <v>898000</v>
      </c>
      <c r="F99" s="1434">
        <f>IFERROR(E99/'2. Roles &amp; Pricing'!$D$289,"No Entity Revenue")</f>
        <v>1</v>
      </c>
      <c r="H99" s="458"/>
      <c r="I99" s="496"/>
      <c r="J99" s="508"/>
    </row>
    <row r="100" spans="2:10" hidden="1" x14ac:dyDescent="0.25">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25">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25">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25">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25">
      <c r="B104" s="1153" t="s">
        <v>209</v>
      </c>
      <c r="C104" s="1436" t="s">
        <v>210</v>
      </c>
      <c r="D104" s="1437" t="s">
        <v>210</v>
      </c>
      <c r="E104" s="1438" t="s">
        <v>210</v>
      </c>
      <c r="F104" s="1439" t="s">
        <v>210</v>
      </c>
      <c r="H104" s="458"/>
      <c r="I104" s="496"/>
      <c r="J104" s="508"/>
    </row>
    <row r="105" spans="2:10" hidden="1" x14ac:dyDescent="0.25">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25">
      <c r="B106" s="609"/>
      <c r="C106" s="610"/>
      <c r="D106" s="611"/>
      <c r="E106" s="612"/>
      <c r="F106" s="613"/>
      <c r="H106" s="458"/>
      <c r="I106" s="496"/>
      <c r="J106" s="508"/>
    </row>
    <row r="107" spans="2:10" x14ac:dyDescent="0.25">
      <c r="B107" s="1865" t="s">
        <v>226</v>
      </c>
      <c r="C107" s="1866"/>
      <c r="D107" s="1867"/>
      <c r="E107" s="612"/>
      <c r="F107" s="613"/>
      <c r="H107" s="458"/>
      <c r="I107" s="496"/>
      <c r="J107" s="508"/>
    </row>
    <row r="108" spans="2:10" x14ac:dyDescent="0.25">
      <c r="B108" s="723" t="s">
        <v>228</v>
      </c>
      <c r="C108" s="720" t="s">
        <v>103</v>
      </c>
      <c r="D108" s="720" t="s">
        <v>201</v>
      </c>
      <c r="E108" s="612"/>
      <c r="F108" s="613"/>
      <c r="H108" s="458"/>
      <c r="I108" s="496"/>
      <c r="J108" s="508"/>
    </row>
    <row r="109" spans="2:10" x14ac:dyDescent="0.25">
      <c r="B109" s="986" t="s">
        <v>1736</v>
      </c>
      <c r="C109" s="1444">
        <f>IFERROR(SUMIF('2. Roles &amp; Pricing'!$N$48:$N$147,0,'2. Roles &amp; Pricing'!$M$291:$M$390),"")</f>
        <v>0</v>
      </c>
      <c r="D109" s="1445">
        <f>IFERROR(C109/'2. Roles &amp; Pricing'!$M$289,"")</f>
        <v>0</v>
      </c>
      <c r="E109" s="612"/>
      <c r="F109" s="613"/>
      <c r="H109" s="458"/>
      <c r="I109" s="496"/>
      <c r="J109" s="508"/>
    </row>
    <row r="110" spans="2:10" x14ac:dyDescent="0.25">
      <c r="B110" s="978" t="s">
        <v>229</v>
      </c>
      <c r="C110" s="1446">
        <f>IFERROR(SUMIF('2. Roles &amp; Pricing'!$N$48:$N$147,1,'2. Roles &amp; Pricing'!$M$291:$M$390),"")</f>
        <v>0</v>
      </c>
      <c r="D110" s="1447">
        <f>IFERROR(C110/'2. Roles &amp; Pricing'!$M$289,"")</f>
        <v>0</v>
      </c>
      <c r="E110" s="612"/>
      <c r="F110" s="613"/>
      <c r="H110" s="458"/>
      <c r="I110" s="496"/>
      <c r="J110" s="508"/>
    </row>
    <row r="111" spans="2:10" x14ac:dyDescent="0.25">
      <c r="B111" s="978" t="s">
        <v>113</v>
      </c>
      <c r="C111" s="1446">
        <f>IFERROR(SUMIF('2. Roles &amp; Pricing'!$N$48:$N$147,2,'2. Roles &amp; Pricing'!$M$291:$M$390),"")</f>
        <v>6640</v>
      </c>
      <c r="D111" s="1447">
        <f>IFERROR(C111/'2. Roles &amp; Pricing'!$M$289,"")</f>
        <v>0.78672985781990523</v>
      </c>
      <c r="E111" s="612"/>
      <c r="F111" s="613"/>
      <c r="H111" s="458"/>
      <c r="I111" s="496"/>
      <c r="J111" s="508"/>
    </row>
    <row r="112" spans="2:10" x14ac:dyDescent="0.25">
      <c r="B112" s="978" t="s">
        <v>114</v>
      </c>
      <c r="C112" s="1446">
        <f>IFERROR(SUMIF('2. Roles &amp; Pricing'!$N$48:$N$147,3,'2. Roles &amp; Pricing'!$M$291:$M$390),"")</f>
        <v>1200</v>
      </c>
      <c r="D112" s="1447">
        <f>IFERROR(C112/'2. Roles &amp; Pricing'!$M$289,"")</f>
        <v>0.14218009478672985</v>
      </c>
      <c r="E112" s="612"/>
      <c r="F112" s="613"/>
      <c r="H112" s="458"/>
      <c r="I112" s="496"/>
      <c r="J112" s="508"/>
    </row>
    <row r="113" spans="2:16" x14ac:dyDescent="0.25">
      <c r="B113" s="978" t="s">
        <v>115</v>
      </c>
      <c r="C113" s="1446">
        <f>IFERROR(SUMIF('2. Roles &amp; Pricing'!$N$48:$N$147,4,'2. Roles &amp; Pricing'!$M$291:$M$390),"")</f>
        <v>0</v>
      </c>
      <c r="D113" s="1447">
        <f>IFERROR(C113/'2. Roles &amp; Pricing'!$M$289,"")</f>
        <v>0</v>
      </c>
      <c r="E113" s="612"/>
      <c r="F113" s="613"/>
      <c r="H113" s="458"/>
      <c r="I113" s="496"/>
      <c r="J113" s="508"/>
    </row>
    <row r="114" spans="2:16" x14ac:dyDescent="0.25">
      <c r="B114" s="978" t="s">
        <v>116</v>
      </c>
      <c r="C114" s="1446">
        <f>IFERROR(SUMIF('2. Roles &amp; Pricing'!$N$48:$N$147,5,'2. Roles &amp; Pricing'!$M$291:$M$390),"")</f>
        <v>600</v>
      </c>
      <c r="D114" s="1447">
        <f>IFERROR(C114/'2. Roles &amp; Pricing'!$M$289,"")</f>
        <v>7.1090047393364927E-2</v>
      </c>
      <c r="K114" s="413"/>
      <c r="L114" s="413"/>
      <c r="M114" s="413"/>
      <c r="N114" s="413"/>
      <c r="O114" s="413"/>
      <c r="P114" s="413"/>
    </row>
    <row r="115" spans="2:16" x14ac:dyDescent="0.25">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25">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25">
      <c r="B117" s="413"/>
      <c r="C117" s="413"/>
      <c r="D117" s="413"/>
      <c r="E117" s="413"/>
      <c r="F117" s="413"/>
      <c r="G117" s="413"/>
      <c r="H117" s="413"/>
      <c r="I117" s="413"/>
      <c r="J117" s="413"/>
      <c r="K117" s="413"/>
      <c r="L117" s="413"/>
      <c r="M117" s="413"/>
      <c r="N117" s="413"/>
      <c r="O117" s="413"/>
      <c r="P117" s="413"/>
    </row>
    <row r="118" spans="2:16" x14ac:dyDescent="0.25">
      <c r="B118" s="413"/>
      <c r="C118" s="413"/>
      <c r="D118" s="413"/>
      <c r="E118" s="413"/>
      <c r="F118" s="413"/>
      <c r="G118" s="413"/>
      <c r="H118" s="413"/>
      <c r="I118" s="413"/>
      <c r="J118" s="413"/>
      <c r="K118" s="413"/>
      <c r="L118" s="413"/>
      <c r="M118" s="413"/>
      <c r="N118" s="413"/>
      <c r="O118" s="413"/>
      <c r="P118" s="413"/>
    </row>
    <row r="119" spans="2:16" ht="17.399999999999999" x14ac:dyDescent="0.25">
      <c r="B119" s="859" t="s">
        <v>3322</v>
      </c>
      <c r="C119" s="563"/>
      <c r="D119" s="563"/>
      <c r="E119" s="564"/>
      <c r="F119" s="564"/>
      <c r="G119" s="564"/>
      <c r="I119" s="413"/>
      <c r="J119" s="413"/>
      <c r="K119" s="413"/>
      <c r="L119" s="413"/>
      <c r="M119" s="413"/>
      <c r="N119" s="413"/>
      <c r="O119" s="413"/>
      <c r="P119" s="413"/>
    </row>
    <row r="120" spans="2:16" ht="27.6" x14ac:dyDescent="0.25">
      <c r="B120" s="1545" t="s">
        <v>3323</v>
      </c>
      <c r="C120" s="1545"/>
      <c r="D120" s="1545"/>
      <c r="E120" s="1545"/>
      <c r="F120" s="1545"/>
      <c r="G120" s="1545"/>
      <c r="H120" s="1545"/>
      <c r="I120" s="413"/>
      <c r="J120" s="413"/>
      <c r="K120" s="413"/>
      <c r="L120" s="413"/>
      <c r="M120" s="413"/>
      <c r="N120" s="413"/>
      <c r="O120" s="413"/>
      <c r="P120" s="413"/>
    </row>
    <row r="121" spans="2:16" x14ac:dyDescent="0.25">
      <c r="B121" s="413"/>
      <c r="C121" s="413"/>
      <c r="D121" s="413"/>
      <c r="E121" s="413"/>
      <c r="F121" s="413"/>
      <c r="G121" s="413"/>
      <c r="H121" s="413"/>
      <c r="I121" s="413"/>
      <c r="J121" s="413"/>
      <c r="K121" s="413"/>
      <c r="L121" s="413"/>
      <c r="M121" s="413"/>
      <c r="N121" s="413"/>
      <c r="O121" s="413"/>
      <c r="P121" s="413"/>
    </row>
    <row r="122" spans="2:16" x14ac:dyDescent="0.25">
      <c r="B122" s="413" t="s">
        <v>1673</v>
      </c>
      <c r="C122" s="413"/>
      <c r="D122" s="413"/>
      <c r="E122" s="413"/>
      <c r="F122" s="413"/>
      <c r="G122" s="413"/>
      <c r="H122" s="413"/>
      <c r="I122" s="413"/>
      <c r="J122" s="413"/>
      <c r="K122" s="413"/>
      <c r="L122" s="413"/>
      <c r="M122" s="413"/>
      <c r="N122" s="413"/>
      <c r="O122" s="413"/>
      <c r="P122" s="413"/>
    </row>
    <row r="123" spans="2:16" x14ac:dyDescent="0.25">
      <c r="B123" s="413" t="s">
        <v>3422</v>
      </c>
      <c r="C123" s="413"/>
      <c r="D123" s="413"/>
      <c r="E123" s="413"/>
      <c r="F123" s="413"/>
      <c r="G123" s="413"/>
      <c r="H123" s="413"/>
      <c r="I123" s="413"/>
      <c r="J123" s="413"/>
      <c r="K123" s="413"/>
      <c r="L123" s="413"/>
      <c r="M123" s="413"/>
      <c r="N123" s="413"/>
      <c r="O123" s="413"/>
      <c r="P123" s="413"/>
    </row>
    <row r="124" spans="2:16" x14ac:dyDescent="0.25">
      <c r="B124" s="413" t="s">
        <v>3421</v>
      </c>
      <c r="C124" s="413"/>
      <c r="D124" s="413"/>
      <c r="E124" s="413"/>
      <c r="F124" s="413"/>
      <c r="G124" s="413"/>
      <c r="H124" s="413"/>
      <c r="I124" s="413"/>
      <c r="J124" s="413"/>
      <c r="K124" s="413"/>
      <c r="L124" s="413"/>
      <c r="M124" s="413"/>
      <c r="N124" s="413"/>
      <c r="O124" s="413"/>
      <c r="P124" s="413"/>
    </row>
    <row r="125" spans="2:16" x14ac:dyDescent="0.25">
      <c r="B125" s="413" t="s">
        <v>3423</v>
      </c>
      <c r="C125" s="413"/>
      <c r="D125" s="413"/>
      <c r="E125" s="413"/>
      <c r="F125" s="413"/>
      <c r="G125" s="413"/>
      <c r="H125" s="413"/>
      <c r="I125" s="413"/>
      <c r="J125" s="413"/>
      <c r="K125" s="413"/>
      <c r="L125" s="413"/>
      <c r="M125" s="413"/>
      <c r="N125" s="413"/>
      <c r="O125" s="413"/>
      <c r="P125" s="413"/>
    </row>
    <row r="126" spans="2:16" x14ac:dyDescent="0.25">
      <c r="B126" s="413"/>
      <c r="C126" s="413"/>
      <c r="D126" s="413"/>
      <c r="E126" s="413"/>
      <c r="F126" s="413"/>
      <c r="G126" s="413"/>
      <c r="H126" s="413"/>
      <c r="I126" s="413"/>
      <c r="J126" s="413"/>
      <c r="K126" s="413"/>
      <c r="L126" s="413"/>
      <c r="M126" s="413"/>
      <c r="N126" s="413"/>
      <c r="O126" s="413"/>
      <c r="P126" s="413"/>
    </row>
    <row r="127" spans="2:16" x14ac:dyDescent="0.25">
      <c r="B127" s="413" t="s">
        <v>173</v>
      </c>
      <c r="C127" s="413"/>
      <c r="D127" s="413"/>
      <c r="E127" s="413"/>
      <c r="F127" s="413"/>
      <c r="G127" s="413"/>
      <c r="H127" s="413"/>
      <c r="I127" s="413"/>
      <c r="J127" s="413"/>
      <c r="K127" s="413"/>
      <c r="L127" s="413"/>
      <c r="M127" s="413"/>
      <c r="N127" s="413"/>
      <c r="O127" s="413"/>
      <c r="P127" s="413"/>
    </row>
    <row r="128" spans="2:16" x14ac:dyDescent="0.25">
      <c r="B128" s="413"/>
      <c r="C128" s="413"/>
      <c r="D128" s="413"/>
      <c r="E128" s="413"/>
      <c r="F128" s="413"/>
      <c r="G128" s="413"/>
      <c r="H128" s="413"/>
      <c r="I128" s="413"/>
      <c r="J128" s="413"/>
      <c r="K128" s="413"/>
      <c r="L128" s="413"/>
      <c r="M128" s="413"/>
      <c r="N128" s="413"/>
      <c r="O128" s="413"/>
      <c r="P128" s="413"/>
    </row>
    <row r="129" spans="2:16" x14ac:dyDescent="0.25">
      <c r="B129" s="413"/>
      <c r="C129" s="413"/>
      <c r="D129" s="413"/>
      <c r="E129" s="413"/>
      <c r="F129" s="413"/>
      <c r="G129" s="413"/>
      <c r="H129" s="413"/>
      <c r="I129" s="413"/>
      <c r="J129" s="413"/>
      <c r="K129" s="413"/>
      <c r="L129" s="413"/>
      <c r="M129" s="413"/>
      <c r="N129" s="413"/>
      <c r="O129" s="413"/>
      <c r="P129" s="413"/>
    </row>
    <row r="130" spans="2:16" x14ac:dyDescent="0.25">
      <c r="B130" s="413"/>
      <c r="C130" s="413"/>
      <c r="D130" s="413"/>
      <c r="E130" s="413"/>
      <c r="F130" s="413"/>
      <c r="G130" s="413"/>
      <c r="H130" s="413"/>
      <c r="I130" s="413"/>
      <c r="J130" s="413"/>
      <c r="K130" s="413"/>
      <c r="L130" s="413"/>
      <c r="M130" s="413"/>
      <c r="N130" s="413"/>
      <c r="O130" s="413"/>
      <c r="P130" s="413"/>
    </row>
    <row r="131" spans="2:16" x14ac:dyDescent="0.25">
      <c r="B131" s="413"/>
      <c r="C131" s="413"/>
      <c r="D131" s="413"/>
      <c r="E131" s="413"/>
      <c r="F131" s="413"/>
      <c r="G131" s="413"/>
      <c r="H131" s="413"/>
      <c r="I131" s="413"/>
      <c r="J131" s="413"/>
      <c r="K131" s="413"/>
      <c r="L131" s="413"/>
      <c r="M131" s="413"/>
      <c r="N131" s="413"/>
      <c r="O131" s="413"/>
      <c r="P131" s="413"/>
    </row>
    <row r="132" spans="2:16" x14ac:dyDescent="0.25">
      <c r="B132" s="413"/>
      <c r="C132" s="413"/>
      <c r="D132" s="413"/>
      <c r="E132" s="413"/>
      <c r="F132" s="413"/>
      <c r="G132" s="413"/>
      <c r="H132" s="413"/>
      <c r="I132" s="413"/>
      <c r="J132" s="413"/>
      <c r="K132" s="413"/>
      <c r="L132" s="413"/>
      <c r="M132" s="413"/>
      <c r="N132" s="413"/>
      <c r="O132" s="413"/>
      <c r="P132" s="413"/>
    </row>
    <row r="133" spans="2:16" x14ac:dyDescent="0.25">
      <c r="B133" s="413"/>
      <c r="C133" s="413"/>
      <c r="D133" s="413"/>
      <c r="E133" s="413"/>
      <c r="F133" s="413"/>
      <c r="G133" s="413"/>
      <c r="H133" s="413"/>
      <c r="I133" s="413"/>
      <c r="J133" s="413"/>
      <c r="K133" s="413"/>
      <c r="L133" s="413"/>
      <c r="M133" s="413"/>
      <c r="N133" s="413"/>
      <c r="O133" s="413"/>
      <c r="P133" s="413"/>
    </row>
    <row r="134" spans="2:16" x14ac:dyDescent="0.25">
      <c r="B134" s="413"/>
      <c r="C134" s="413"/>
      <c r="D134" s="413"/>
      <c r="E134" s="413"/>
      <c r="F134" s="413"/>
      <c r="G134" s="413"/>
      <c r="H134" s="413"/>
      <c r="I134" s="413"/>
      <c r="J134" s="413"/>
      <c r="K134" s="413"/>
      <c r="L134" s="413"/>
      <c r="M134" s="413"/>
      <c r="N134" s="413"/>
      <c r="O134" s="413"/>
      <c r="P134" s="413"/>
    </row>
    <row r="135" spans="2:16" x14ac:dyDescent="0.25">
      <c r="B135" s="413"/>
      <c r="C135" s="413"/>
      <c r="D135" s="413"/>
      <c r="E135" s="413"/>
      <c r="F135" s="413"/>
      <c r="G135" s="413"/>
      <c r="H135" s="413"/>
      <c r="I135" s="413"/>
      <c r="J135" s="413"/>
      <c r="K135" s="413"/>
      <c r="L135" s="413"/>
      <c r="M135" s="413"/>
      <c r="N135" s="413"/>
      <c r="O135" s="413"/>
      <c r="P135" s="413"/>
    </row>
    <row r="136" spans="2:16" x14ac:dyDescent="0.25">
      <c r="B136" s="413"/>
      <c r="C136" s="413"/>
      <c r="D136" s="413"/>
      <c r="E136" s="413"/>
      <c r="F136" s="413"/>
      <c r="G136" s="413"/>
      <c r="H136" s="413"/>
      <c r="I136" s="413"/>
      <c r="J136" s="413"/>
      <c r="K136" s="413"/>
      <c r="L136" s="413"/>
      <c r="M136" s="413"/>
      <c r="N136" s="413"/>
      <c r="O136" s="413"/>
      <c r="P136" s="413"/>
    </row>
    <row r="137" spans="2:16" x14ac:dyDescent="0.25">
      <c r="B137" s="413"/>
      <c r="C137" s="413"/>
      <c r="D137" s="413"/>
      <c r="E137" s="413"/>
      <c r="F137" s="413"/>
      <c r="G137" s="413"/>
      <c r="H137" s="413"/>
      <c r="I137" s="413"/>
      <c r="J137" s="413"/>
      <c r="K137" s="413"/>
      <c r="L137" s="413"/>
      <c r="M137" s="413"/>
      <c r="N137" s="413"/>
      <c r="O137" s="413"/>
      <c r="P137" s="413"/>
    </row>
    <row r="138" spans="2:16" x14ac:dyDescent="0.25">
      <c r="B138" s="413"/>
      <c r="C138" s="413"/>
      <c r="D138" s="413"/>
      <c r="E138" s="413"/>
      <c r="F138" s="413"/>
      <c r="G138" s="413"/>
      <c r="H138" s="413"/>
      <c r="I138" s="413"/>
      <c r="J138" s="413"/>
      <c r="K138" s="413"/>
      <c r="L138" s="413"/>
      <c r="M138" s="413"/>
      <c r="N138" s="413"/>
      <c r="O138" s="413"/>
      <c r="P138" s="413"/>
    </row>
    <row r="139" spans="2:16" x14ac:dyDescent="0.25">
      <c r="B139" s="413"/>
      <c r="C139" s="413"/>
      <c r="D139" s="413"/>
      <c r="E139" s="413"/>
      <c r="F139" s="413"/>
      <c r="G139" s="413"/>
      <c r="H139" s="413"/>
      <c r="I139" s="413"/>
      <c r="J139" s="413"/>
      <c r="K139" s="413"/>
      <c r="L139" s="413"/>
      <c r="M139" s="413"/>
      <c r="N139" s="413"/>
      <c r="O139" s="413"/>
      <c r="P139" s="413"/>
    </row>
    <row r="140" spans="2:16" x14ac:dyDescent="0.25">
      <c r="B140" s="413"/>
      <c r="C140" s="413"/>
      <c r="D140" s="413"/>
      <c r="E140" s="413"/>
      <c r="F140" s="413"/>
      <c r="G140" s="413"/>
      <c r="H140" s="413"/>
      <c r="I140" s="413"/>
      <c r="J140" s="413"/>
      <c r="K140" s="413"/>
      <c r="L140" s="413"/>
      <c r="M140" s="413"/>
      <c r="N140" s="413"/>
      <c r="O140" s="413"/>
      <c r="P140" s="413"/>
    </row>
    <row r="141" spans="2:16" x14ac:dyDescent="0.25">
      <c r="B141" s="413"/>
      <c r="C141" s="413"/>
      <c r="D141" s="413"/>
      <c r="E141" s="413"/>
      <c r="F141" s="413"/>
      <c r="G141" s="413"/>
      <c r="H141" s="413"/>
      <c r="I141" s="413"/>
      <c r="J141" s="413"/>
      <c r="K141" s="413"/>
      <c r="L141" s="413"/>
      <c r="M141" s="413"/>
      <c r="N141" s="413"/>
      <c r="O141" s="413"/>
      <c r="P141" s="413"/>
    </row>
    <row r="142" spans="2:16" x14ac:dyDescent="0.25">
      <c r="B142" s="413"/>
      <c r="C142" s="413"/>
      <c r="D142" s="413"/>
      <c r="E142" s="413"/>
      <c r="F142" s="413"/>
      <c r="G142" s="413"/>
      <c r="H142" s="413"/>
      <c r="I142" s="413"/>
      <c r="J142" s="413"/>
      <c r="K142" s="413"/>
      <c r="L142" s="413"/>
      <c r="M142" s="413"/>
      <c r="N142" s="413"/>
      <c r="O142" s="413"/>
      <c r="P142" s="413"/>
    </row>
    <row r="143" spans="2:16" x14ac:dyDescent="0.25">
      <c r="B143" s="413"/>
      <c r="C143" s="413"/>
      <c r="D143" s="413"/>
      <c r="E143" s="413"/>
      <c r="F143" s="413"/>
      <c r="G143" s="413"/>
      <c r="H143" s="413"/>
      <c r="I143" s="413"/>
      <c r="J143" s="413"/>
      <c r="K143" s="413"/>
      <c r="L143" s="413"/>
      <c r="M143" s="413"/>
      <c r="N143" s="413"/>
      <c r="O143" s="413"/>
      <c r="P143" s="413"/>
    </row>
    <row r="144" spans="2:16" x14ac:dyDescent="0.25">
      <c r="B144" s="413"/>
      <c r="C144" s="413"/>
      <c r="D144" s="413"/>
      <c r="E144" s="413"/>
      <c r="F144" s="413"/>
      <c r="G144" s="413"/>
      <c r="H144" s="413"/>
      <c r="I144" s="413"/>
      <c r="J144" s="413"/>
      <c r="K144" s="413"/>
      <c r="L144" s="413"/>
      <c r="M144" s="413"/>
      <c r="N144" s="413"/>
      <c r="O144" s="413"/>
      <c r="P144" s="413"/>
    </row>
    <row r="145" spans="2:16" x14ac:dyDescent="0.25">
      <c r="B145" s="413"/>
      <c r="C145" s="413"/>
      <c r="D145" s="413"/>
      <c r="E145" s="413"/>
      <c r="F145" s="413"/>
      <c r="G145" s="413"/>
      <c r="H145" s="413"/>
      <c r="I145" s="413"/>
      <c r="J145" s="413"/>
      <c r="K145" s="413"/>
      <c r="L145" s="413"/>
      <c r="M145" s="413"/>
      <c r="N145" s="413"/>
      <c r="O145" s="413"/>
      <c r="P145" s="413"/>
    </row>
    <row r="146" spans="2:16" x14ac:dyDescent="0.25">
      <c r="B146" s="413"/>
      <c r="C146" s="413"/>
      <c r="D146" s="413"/>
      <c r="E146" s="413"/>
      <c r="F146" s="413"/>
      <c r="G146" s="413"/>
      <c r="H146" s="413"/>
      <c r="I146" s="413"/>
      <c r="J146" s="413"/>
      <c r="K146" s="413"/>
      <c r="L146" s="413"/>
      <c r="M146" s="413"/>
      <c r="N146" s="413"/>
      <c r="O146" s="413"/>
      <c r="P146" s="413"/>
    </row>
    <row r="147" spans="2:16" x14ac:dyDescent="0.25">
      <c r="B147" s="413"/>
      <c r="C147" s="413"/>
      <c r="D147" s="413"/>
      <c r="E147" s="413"/>
      <c r="F147" s="413"/>
      <c r="G147" s="413"/>
      <c r="H147" s="413"/>
      <c r="I147" s="413"/>
      <c r="J147" s="413"/>
      <c r="K147" s="413"/>
      <c r="L147" s="413"/>
      <c r="M147" s="413"/>
      <c r="N147" s="413"/>
      <c r="O147" s="413"/>
      <c r="P147" s="413"/>
    </row>
    <row r="148" spans="2:16" x14ac:dyDescent="0.25">
      <c r="B148" s="413"/>
      <c r="C148" s="413"/>
      <c r="D148" s="413"/>
      <c r="E148" s="413"/>
      <c r="F148" s="413"/>
      <c r="G148" s="413"/>
      <c r="H148" s="413"/>
      <c r="I148" s="413"/>
      <c r="J148" s="413"/>
      <c r="K148" s="413"/>
      <c r="L148" s="413"/>
      <c r="M148" s="413"/>
      <c r="N148" s="413"/>
      <c r="O148" s="413"/>
      <c r="P148" s="413"/>
    </row>
    <row r="149" spans="2:16" x14ac:dyDescent="0.25">
      <c r="B149" s="413"/>
      <c r="C149" s="413"/>
      <c r="D149" s="413"/>
      <c r="E149" s="413"/>
      <c r="F149" s="413"/>
      <c r="G149" s="413"/>
      <c r="H149" s="413"/>
      <c r="I149" s="413"/>
      <c r="J149" s="413"/>
      <c r="K149" s="413"/>
      <c r="L149" s="413"/>
      <c r="M149" s="413"/>
      <c r="N149" s="413"/>
      <c r="O149" s="413"/>
      <c r="P149" s="413"/>
    </row>
    <row r="150" spans="2:16" x14ac:dyDescent="0.25">
      <c r="B150" s="413"/>
      <c r="C150" s="413"/>
      <c r="D150" s="413"/>
      <c r="E150" s="413"/>
      <c r="F150" s="413"/>
      <c r="G150" s="413"/>
      <c r="H150" s="413"/>
      <c r="I150" s="413"/>
      <c r="J150" s="413"/>
      <c r="K150" s="413"/>
      <c r="L150" s="413"/>
      <c r="M150" s="413"/>
      <c r="N150" s="413"/>
      <c r="O150" s="413"/>
      <c r="P150" s="413"/>
    </row>
    <row r="151" spans="2:16" x14ac:dyDescent="0.25">
      <c r="B151" s="413"/>
      <c r="C151" s="413"/>
      <c r="D151" s="413"/>
      <c r="E151" s="413"/>
      <c r="F151" s="413"/>
      <c r="G151" s="413"/>
      <c r="H151" s="413"/>
      <c r="I151" s="413"/>
      <c r="J151" s="413"/>
      <c r="K151" s="413"/>
      <c r="L151" s="413"/>
      <c r="M151" s="413"/>
      <c r="N151" s="413"/>
      <c r="O151" s="413"/>
      <c r="P151" s="413"/>
    </row>
    <row r="152" spans="2:16" x14ac:dyDescent="0.25">
      <c r="B152" s="413"/>
      <c r="C152" s="413"/>
      <c r="D152" s="413"/>
      <c r="E152" s="413"/>
      <c r="F152" s="413"/>
      <c r="G152" s="413"/>
      <c r="H152" s="413"/>
      <c r="I152" s="413"/>
      <c r="J152" s="413"/>
      <c r="K152" s="413"/>
      <c r="L152" s="413"/>
      <c r="M152" s="413"/>
      <c r="N152" s="413"/>
      <c r="O152" s="413"/>
      <c r="P152" s="413"/>
    </row>
    <row r="153" spans="2:16" ht="17.399999999999999" x14ac:dyDescent="0.25">
      <c r="B153" s="859" t="s">
        <v>2289</v>
      </c>
      <c r="C153" s="475"/>
      <c r="D153" s="475"/>
      <c r="E153" s="475"/>
      <c r="F153" s="475"/>
      <c r="K153" s="413"/>
      <c r="L153" s="413"/>
      <c r="M153" s="413"/>
      <c r="N153" s="413"/>
      <c r="O153" s="413"/>
      <c r="P153" s="413"/>
    </row>
    <row r="154" spans="2:16" x14ac:dyDescent="0.25">
      <c r="B154" s="413"/>
      <c r="C154" s="413"/>
      <c r="D154" s="413"/>
      <c r="E154" s="413"/>
      <c r="F154" s="413"/>
      <c r="G154" s="413"/>
      <c r="H154" s="413"/>
      <c r="I154" s="413"/>
      <c r="J154" s="413"/>
      <c r="K154" s="413"/>
      <c r="L154" s="413"/>
      <c r="M154" s="413"/>
      <c r="N154" s="413"/>
      <c r="O154" s="413"/>
      <c r="P154" s="413"/>
    </row>
    <row r="155" spans="2:16" ht="20.25" customHeight="1" x14ac:dyDescent="0.25">
      <c r="B155" s="987" t="str">
        <f>'2. Roles &amp; Pricing'!D399</f>
        <v>Select Approach Option</v>
      </c>
      <c r="C155" s="415"/>
      <c r="F155" s="413"/>
      <c r="G155" s="413"/>
      <c r="H155" s="413"/>
      <c r="I155" s="413"/>
      <c r="J155" s="413"/>
      <c r="K155" s="413"/>
      <c r="L155" s="413"/>
      <c r="M155" s="413"/>
      <c r="N155" s="413"/>
      <c r="O155" s="413"/>
      <c r="P155" s="413"/>
    </row>
    <row r="156" spans="2:16" x14ac:dyDescent="0.25">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25">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25">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25">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25">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25">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25">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25">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05" customHeight="1" x14ac:dyDescent="0.25">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25">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25">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25">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25">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25">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25">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25">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25">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25">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25">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25">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25">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25">
      <c r="B177" s="413"/>
      <c r="C177" s="413"/>
      <c r="D177" s="413"/>
      <c r="E177" s="413"/>
      <c r="F177" s="413"/>
      <c r="G177" s="413"/>
      <c r="H177" s="413"/>
      <c r="I177" s="413"/>
      <c r="J177" s="413"/>
      <c r="K177" s="413"/>
      <c r="L177" s="413"/>
      <c r="M177" s="413"/>
      <c r="N177" s="413"/>
      <c r="O177" s="413"/>
      <c r="P177" s="413"/>
    </row>
    <row r="178" spans="2:16" x14ac:dyDescent="0.25">
      <c r="B178" s="413"/>
      <c r="C178" s="413"/>
      <c r="D178" s="413"/>
      <c r="E178" s="413"/>
      <c r="F178" s="413"/>
      <c r="G178" s="413"/>
      <c r="H178" s="413"/>
      <c r="I178" s="413"/>
      <c r="J178" s="413"/>
      <c r="K178" s="413"/>
      <c r="L178" s="413"/>
      <c r="M178" s="413"/>
      <c r="N178" s="413"/>
      <c r="O178" s="413"/>
      <c r="P178" s="413"/>
    </row>
    <row r="179" spans="2:16" x14ac:dyDescent="0.25">
      <c r="B179" s="413"/>
      <c r="C179" s="413"/>
      <c r="D179" s="413"/>
      <c r="E179" s="413"/>
      <c r="F179" s="413"/>
      <c r="G179" s="413"/>
      <c r="H179" s="413"/>
      <c r="I179" s="413"/>
      <c r="J179" s="413"/>
      <c r="K179" s="413"/>
      <c r="L179" s="413"/>
      <c r="M179" s="413"/>
      <c r="N179" s="413"/>
      <c r="O179" s="413"/>
      <c r="P179" s="413"/>
    </row>
    <row r="180" spans="2:16" x14ac:dyDescent="0.25">
      <c r="B180" s="413"/>
      <c r="C180" s="413"/>
      <c r="D180" s="413"/>
      <c r="E180" s="413"/>
      <c r="F180" s="413"/>
      <c r="G180" s="413"/>
      <c r="H180" s="413"/>
      <c r="I180" s="413"/>
      <c r="J180" s="413"/>
      <c r="K180" s="413"/>
      <c r="L180" s="413"/>
      <c r="M180" s="413"/>
      <c r="N180" s="413"/>
      <c r="O180" s="413"/>
      <c r="P180" s="413"/>
    </row>
    <row r="181" spans="2:16" x14ac:dyDescent="0.25">
      <c r="B181" s="413"/>
      <c r="C181" s="413"/>
      <c r="D181" s="413"/>
      <c r="E181" s="413"/>
      <c r="F181" s="413"/>
      <c r="G181" s="413"/>
      <c r="H181" s="413"/>
      <c r="I181" s="413"/>
      <c r="J181" s="413"/>
      <c r="K181" s="413"/>
      <c r="L181" s="413"/>
      <c r="M181" s="413"/>
      <c r="N181" s="413"/>
      <c r="O181" s="413"/>
      <c r="P181" s="413"/>
    </row>
    <row r="182" spans="2:16" x14ac:dyDescent="0.25">
      <c r="B182" s="413"/>
      <c r="C182" s="413"/>
      <c r="D182" s="413"/>
      <c r="E182" s="413"/>
      <c r="F182" s="413"/>
      <c r="G182" s="413"/>
      <c r="H182" s="413"/>
      <c r="I182" s="413"/>
      <c r="J182" s="413"/>
      <c r="K182" s="413"/>
      <c r="L182" s="413"/>
      <c r="M182" s="413"/>
      <c r="N182" s="413"/>
      <c r="O182" s="413"/>
      <c r="P182" s="413"/>
    </row>
    <row r="183" spans="2:16" x14ac:dyDescent="0.25">
      <c r="B183" s="614"/>
      <c r="C183" s="614"/>
      <c r="D183" s="614"/>
      <c r="E183" s="413"/>
      <c r="F183" s="413"/>
      <c r="G183" s="413"/>
      <c r="H183" s="413"/>
      <c r="I183" s="413"/>
      <c r="J183" s="413"/>
      <c r="K183" s="413"/>
      <c r="L183" s="413"/>
      <c r="M183" s="413"/>
      <c r="N183" s="413"/>
      <c r="O183" s="413"/>
      <c r="P183" s="413"/>
    </row>
    <row r="184" spans="2:16" x14ac:dyDescent="0.25">
      <c r="B184" s="615"/>
      <c r="C184" s="616"/>
      <c r="D184" s="616"/>
      <c r="E184" s="616"/>
      <c r="F184" s="413"/>
      <c r="G184" s="413"/>
      <c r="H184" s="413"/>
      <c r="I184" s="413"/>
      <c r="J184" s="413"/>
      <c r="K184" s="413"/>
      <c r="L184" s="413"/>
      <c r="M184" s="413"/>
      <c r="N184" s="413"/>
      <c r="O184" s="413"/>
      <c r="P184" s="413"/>
    </row>
    <row r="185" spans="2:16" x14ac:dyDescent="0.25">
      <c r="B185" s="616"/>
      <c r="C185" s="617"/>
      <c r="D185" s="617"/>
      <c r="E185" s="617"/>
      <c r="F185" s="413"/>
      <c r="G185" s="413"/>
      <c r="H185" s="413"/>
      <c r="I185" s="413"/>
      <c r="J185" s="413"/>
      <c r="K185" s="413"/>
      <c r="L185" s="413"/>
      <c r="M185" s="413"/>
      <c r="N185" s="413"/>
      <c r="O185" s="413"/>
      <c r="P185" s="413"/>
    </row>
    <row r="186" spans="2:16" x14ac:dyDescent="0.25">
      <c r="B186" s="616"/>
      <c r="C186" s="617"/>
      <c r="D186" s="617"/>
      <c r="E186" s="617"/>
      <c r="F186" s="413"/>
      <c r="G186" s="413"/>
      <c r="H186" s="413"/>
      <c r="I186" s="413"/>
      <c r="J186" s="413"/>
      <c r="K186" s="413"/>
      <c r="L186" s="413"/>
      <c r="M186" s="413"/>
      <c r="N186" s="413"/>
      <c r="O186" s="413"/>
      <c r="P186" s="413"/>
    </row>
    <row r="187" spans="2:16" x14ac:dyDescent="0.25">
      <c r="B187" s="616"/>
      <c r="C187" s="617"/>
      <c r="D187" s="617"/>
      <c r="E187" s="617"/>
      <c r="F187" s="413"/>
      <c r="G187" s="413"/>
      <c r="H187" s="413"/>
      <c r="I187" s="413"/>
      <c r="J187" s="413"/>
    </row>
    <row r="188" spans="2:16" x14ac:dyDescent="0.25">
      <c r="B188" s="458"/>
      <c r="C188" s="508"/>
      <c r="D188" s="508"/>
      <c r="E188" s="508"/>
    </row>
    <row r="189" spans="2:16" x14ac:dyDescent="0.25">
      <c r="B189" s="458"/>
      <c r="C189" s="508"/>
      <c r="D189" s="508"/>
      <c r="E189" s="508"/>
    </row>
    <row r="190" spans="2:16" x14ac:dyDescent="0.25">
      <c r="B190" s="458"/>
      <c r="C190" s="508"/>
      <c r="D190" s="508"/>
      <c r="E190" s="508"/>
    </row>
    <row r="191" spans="2:16" x14ac:dyDescent="0.25">
      <c r="B191" s="458"/>
      <c r="C191" s="508"/>
      <c r="D191" s="508"/>
      <c r="E191" s="508"/>
    </row>
  </sheetData>
  <sheetProtection sort="0" autoFilter="0" pivotTables="0"/>
  <mergeCells count="26">
    <mergeCell ref="B84:C84"/>
    <mergeCell ref="B51:F51"/>
    <mergeCell ref="B52:C52"/>
    <mergeCell ref="B107:D107"/>
    <mergeCell ref="H96:J96"/>
    <mergeCell ref="B66:C66"/>
    <mergeCell ref="B96:F96"/>
    <mergeCell ref="B83:F83"/>
    <mergeCell ref="B76:C76"/>
    <mergeCell ref="B65:C65"/>
    <mergeCell ref="C56:C57"/>
    <mergeCell ref="B75:C75"/>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4140625" defaultRowHeight="13.8" x14ac:dyDescent="0.25"/>
  <cols>
    <col min="1" max="1" width="4.44140625" style="395" customWidth="1"/>
    <col min="2" max="2" width="22.77734375" style="395" hidden="1" customWidth="1"/>
    <col min="3" max="3" width="29.44140625" style="395" customWidth="1"/>
    <col min="4" max="4" width="98.44140625" style="395" bestFit="1" customWidth="1"/>
    <col min="5" max="5" width="69.21875" style="395" customWidth="1"/>
    <col min="6" max="6" width="8.44140625" style="395"/>
    <col min="7" max="7" width="17.44140625" style="395" bestFit="1" customWidth="1"/>
    <col min="8" max="16384" width="8.44140625" style="395"/>
  </cols>
  <sheetData>
    <row r="1" spans="1:150" s="469" customFormat="1" ht="12" customHeight="1" x14ac:dyDescent="0.25"/>
    <row r="2" spans="1:150" s="469" customFormat="1" ht="25.8" x14ac:dyDescent="0.25">
      <c r="C2" s="625" t="s">
        <v>2262</v>
      </c>
      <c r="E2" s="622" t="s">
        <v>2241</v>
      </c>
    </row>
    <row r="3" spans="1:150" s="469" customFormat="1" x14ac:dyDescent="0.25">
      <c r="C3" s="1874" t="s">
        <v>2304</v>
      </c>
      <c r="D3" s="1874"/>
      <c r="E3" s="735" t="str">
        <f>'2. Roles &amp; Pricing'!L3</f>
        <v>ROPE Ready for Upload</v>
      </c>
    </row>
    <row r="4" spans="1:150" s="469" customFormat="1" ht="13.05" customHeight="1" x14ac:dyDescent="0.25">
      <c r="C4" s="1874"/>
      <c r="D4" s="1874"/>
    </row>
    <row r="5" spans="1:150" s="526" customFormat="1" ht="7.05" customHeight="1" x14ac:dyDescent="0.25"/>
    <row r="6" spans="1:150" ht="17.399999999999999" x14ac:dyDescent="0.25">
      <c r="C6" s="740" t="s">
        <v>2</v>
      </c>
      <c r="D6" s="403"/>
      <c r="E6" s="403"/>
    </row>
    <row r="7" spans="1:150" x14ac:dyDescent="0.25">
      <c r="C7" s="1879" t="s">
        <v>3284</v>
      </c>
      <c r="D7" s="1879"/>
      <c r="E7" s="1879"/>
    </row>
    <row r="8" spans="1:150" x14ac:dyDescent="0.25">
      <c r="C8" s="1880" t="s">
        <v>3285</v>
      </c>
      <c r="D8" s="1880"/>
      <c r="E8" s="1880"/>
    </row>
    <row r="9" spans="1:150" x14ac:dyDescent="0.25">
      <c r="C9" s="1880" t="s">
        <v>3286</v>
      </c>
      <c r="D9" s="1880"/>
      <c r="E9" s="1880"/>
    </row>
    <row r="10" spans="1:150" x14ac:dyDescent="0.25">
      <c r="C10" s="1241"/>
      <c r="D10" s="1241"/>
      <c r="E10" s="1241"/>
    </row>
    <row r="11" spans="1:150" s="478" customFormat="1" ht="27" customHeight="1" thickBot="1" x14ac:dyDescent="0.3">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25">
      <c r="C13" s="1646" t="s">
        <v>2161</v>
      </c>
      <c r="D13" s="1647"/>
    </row>
    <row r="14" spans="1:150" ht="24.45" customHeight="1" x14ac:dyDescent="0.25">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45" customHeight="1" x14ac:dyDescent="0.25">
      <c r="C15" s="1876"/>
      <c r="D15" s="1878"/>
    </row>
    <row r="16" spans="1:150" ht="19.95" customHeight="1" x14ac:dyDescent="0.25"/>
    <row r="17" spans="1:150" s="478" customFormat="1" ht="27" customHeight="1" thickBot="1" x14ac:dyDescent="0.3">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25">
      <c r="C19" s="1646" t="s">
        <v>2182</v>
      </c>
      <c r="D19" s="1869"/>
      <c r="E19" s="1647"/>
    </row>
    <row r="20" spans="1:150" s="407" customFormat="1" ht="25.05" customHeight="1" x14ac:dyDescent="0.3">
      <c r="B20" s="407" t="s">
        <v>2072</v>
      </c>
      <c r="C20" s="1242" t="s">
        <v>2075</v>
      </c>
      <c r="D20" s="1242" t="s">
        <v>1879</v>
      </c>
      <c r="E20" s="1242" t="s">
        <v>2074</v>
      </c>
    </row>
    <row r="21" spans="1:150" ht="27" customHeight="1" x14ac:dyDescent="0.25">
      <c r="B21" s="624" t="str">
        <f>IF('1. Project Inputs'!C19="Select Entity","FAIL","PASS")</f>
        <v>PASS</v>
      </c>
      <c r="C21" s="994" t="s">
        <v>3573</v>
      </c>
      <c r="D21" s="995" t="s">
        <v>2380</v>
      </c>
      <c r="E21" s="996" t="s">
        <v>3690</v>
      </c>
    </row>
    <row r="22" spans="1:150" ht="30" customHeight="1" x14ac:dyDescent="0.25">
      <c r="B22" s="624" t="str">
        <f>IF('1. Project Inputs'!C22="Enter Project Code","FAIL","PASS")</f>
        <v>PASS</v>
      </c>
      <c r="C22" s="990" t="s">
        <v>2064</v>
      </c>
      <c r="D22" s="988" t="s">
        <v>2381</v>
      </c>
      <c r="E22" s="991" t="s">
        <v>3689</v>
      </c>
    </row>
    <row r="23" spans="1:150" ht="37.950000000000003" customHeight="1" x14ac:dyDescent="0.25">
      <c r="B23" s="624" t="str">
        <f>IF('1. Project Inputs'!C24="Select Project Type","FAIL","PASS")</f>
        <v>PASS</v>
      </c>
      <c r="C23" s="990" t="s">
        <v>23</v>
      </c>
      <c r="D23" s="989" t="s">
        <v>2382</v>
      </c>
      <c r="E23" s="992" t="s">
        <v>2302</v>
      </c>
    </row>
    <row r="24" spans="1:150" ht="55.5" customHeight="1" x14ac:dyDescent="0.25">
      <c r="B24" s="624" t="str">
        <f>IF('1. Project Inputs'!C25="Select Type","FAIL","PASS")</f>
        <v>PASS</v>
      </c>
      <c r="C24" s="990" t="s">
        <v>2065</v>
      </c>
      <c r="D24" s="989" t="s">
        <v>3206</v>
      </c>
      <c r="E24" s="992" t="s">
        <v>2073</v>
      </c>
    </row>
    <row r="25" spans="1:150" ht="55.05" customHeight="1" x14ac:dyDescent="0.25">
      <c r="B25" s="624" t="str">
        <f>IF('1. Project Inputs'!C27="Enter Start Date","FAIL","PASS")</f>
        <v>PASS</v>
      </c>
      <c r="C25" s="990" t="s">
        <v>1890</v>
      </c>
      <c r="D25" s="988" t="s">
        <v>2383</v>
      </c>
      <c r="E25" s="992" t="s">
        <v>2391</v>
      </c>
    </row>
    <row r="26" spans="1:150" ht="57.45" customHeight="1" x14ac:dyDescent="0.25">
      <c r="B26" s="624" t="str">
        <f>IF('1. Project Inputs'!C28="Select Type","FAIL","PASS")</f>
        <v>PASS</v>
      </c>
      <c r="C26" s="990" t="s">
        <v>27</v>
      </c>
      <c r="D26" s="988" t="s">
        <v>2384</v>
      </c>
      <c r="E26" s="992" t="s">
        <v>3198</v>
      </c>
    </row>
    <row r="27" spans="1:150" ht="59.55" customHeight="1" x14ac:dyDescent="0.25">
      <c r="B27" s="624" t="str">
        <f>IF('1. Project Inputs'!C29="Enter Project Durations (Wks)","FAIL","PASS")</f>
        <v>PASS</v>
      </c>
      <c r="C27" s="990" t="s">
        <v>2066</v>
      </c>
      <c r="D27" s="989" t="s">
        <v>2385</v>
      </c>
      <c r="E27" s="992" t="s">
        <v>2390</v>
      </c>
    </row>
    <row r="28" spans="1:150" ht="96.6" x14ac:dyDescent="0.25">
      <c r="B28" s="624" t="str">
        <f>IF(AND('1. Project Inputs'!C25="Client Custom Rates",ISBLANK('1. Project Inputs'!C26)),"FAIL","PASS")</f>
        <v>PASS</v>
      </c>
      <c r="C28" s="990" t="s">
        <v>2067</v>
      </c>
      <c r="D28" s="989" t="s">
        <v>2386</v>
      </c>
      <c r="E28" s="992" t="s">
        <v>2392</v>
      </c>
    </row>
    <row r="29" spans="1:150" ht="55.2" x14ac:dyDescent="0.25">
      <c r="B29" s="624" t="str">
        <f>IF('1. Project Inputs'!C18="Enter Client","FAIL","PASS")</f>
        <v>PASS</v>
      </c>
      <c r="C29" s="990" t="s">
        <v>2068</v>
      </c>
      <c r="D29" s="988" t="s">
        <v>2387</v>
      </c>
      <c r="E29" s="992" t="s">
        <v>2393</v>
      </c>
    </row>
    <row r="30" spans="1:150" ht="55.2" x14ac:dyDescent="0.25">
      <c r="B30" s="624" t="str">
        <f>IF(ISBLANK('1. Project Inputs'!C26)=TRUE,"PASS",IF(_xlfn.XLOOKUP('1. Project Inputs'!C26,'Client Rate Cards'!$B$8:$B$1938,'Client Rate Cards'!$A$8:$A$1938)&lt;&gt;'1. Project Inputs'!C18,"FAIL","PASS"))</f>
        <v>PASS</v>
      </c>
      <c r="C30" s="990" t="s">
        <v>2237</v>
      </c>
      <c r="D30" s="988" t="s">
        <v>2071</v>
      </c>
      <c r="E30" s="992" t="s">
        <v>2393</v>
      </c>
    </row>
    <row r="31" spans="1:150" ht="41.4" x14ac:dyDescent="0.25">
      <c r="B31" s="624" t="str">
        <f>IF(COUNTA('2. Roles &amp; Pricing'!K48:K148)&lt;1,"FAIL","PASS")</f>
        <v>PASS</v>
      </c>
      <c r="C31" s="990" t="s">
        <v>2069</v>
      </c>
      <c r="D31" s="988" t="s">
        <v>2388</v>
      </c>
      <c r="E31" s="992" t="s">
        <v>2076</v>
      </c>
    </row>
    <row r="32" spans="1:150" ht="27.6" x14ac:dyDescent="0.25">
      <c r="B32" s="624" t="str">
        <f>IF('2. Roles &amp; Pricing'!M289&lt;1,"FAIL","PASS")</f>
        <v>PASS</v>
      </c>
      <c r="C32" s="990" t="s">
        <v>2070</v>
      </c>
      <c r="D32" s="988" t="s">
        <v>2389</v>
      </c>
      <c r="E32" s="992" t="s">
        <v>2077</v>
      </c>
    </row>
    <row r="33" spans="2:5" ht="27.6" x14ac:dyDescent="0.25">
      <c r="B33" s="624" t="str">
        <f>IF('3. Financial Inputs'!C17="Enter Contingency %","FAIL","PASS")</f>
        <v>PASS</v>
      </c>
      <c r="C33" s="990" t="s">
        <v>3293</v>
      </c>
      <c r="D33" s="988" t="s">
        <v>3294</v>
      </c>
      <c r="E33" s="992" t="s">
        <v>3295</v>
      </c>
    </row>
    <row r="34" spans="2:5" ht="49.05" customHeight="1" x14ac:dyDescent="0.25">
      <c r="C34" s="990" t="s">
        <v>2268</v>
      </c>
      <c r="D34" s="1315" t="s">
        <v>3170</v>
      </c>
      <c r="E34" s="992" t="s">
        <v>3171</v>
      </c>
    </row>
    <row r="35" spans="2:5" ht="41.4" x14ac:dyDescent="0.25">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21875" defaultRowHeight="13.8" outlineLevelCol="1" x14ac:dyDescent="0.25"/>
  <cols>
    <col min="1" max="1" width="5" style="749" customWidth="1"/>
    <col min="2" max="2" width="39.44140625" style="749" customWidth="1"/>
    <col min="3" max="3" width="11" style="749" customWidth="1"/>
    <col min="4" max="4" width="10.21875" style="749" customWidth="1"/>
    <col min="5" max="5" width="10.77734375" style="749" customWidth="1"/>
    <col min="6" max="6" width="8.77734375" style="749" customWidth="1"/>
    <col min="7" max="7" width="19" style="749" customWidth="1"/>
    <col min="8" max="8" width="13.44140625" style="749" customWidth="1"/>
    <col min="9" max="9" width="24.44140625" style="749" customWidth="1"/>
    <col min="10" max="10" width="15.21875" style="749" bestFit="1" customWidth="1"/>
    <col min="11" max="11" width="24.44140625" style="749" customWidth="1"/>
    <col min="12" max="12" width="33.21875" style="749" customWidth="1"/>
    <col min="13" max="13" width="9.21875" style="749"/>
    <col min="14" max="14" width="45.44140625" style="749" bestFit="1" customWidth="1"/>
    <col min="15" max="15" width="9.21875" style="749"/>
    <col min="16" max="17" width="36.21875" style="632" customWidth="1" outlineLevel="1"/>
    <col min="18" max="18" width="21.77734375" style="395" customWidth="1" outlineLevel="1"/>
    <col min="19" max="19" width="9.21875" style="395"/>
    <col min="20" max="16384" width="9.21875" style="749"/>
  </cols>
  <sheetData>
    <row r="1" spans="2:19" s="744" customFormat="1" ht="6" customHeight="1" x14ac:dyDescent="0.25">
      <c r="B1" s="472"/>
      <c r="C1" s="472"/>
      <c r="D1" s="472"/>
      <c r="E1" s="472"/>
      <c r="F1" s="472"/>
      <c r="P1" s="745"/>
      <c r="Q1" s="745"/>
      <c r="R1" s="469"/>
      <c r="S1" s="469"/>
    </row>
    <row r="2" spans="2:19" s="744" customFormat="1" ht="25.8" x14ac:dyDescent="0.25">
      <c r="B2" s="862" t="s">
        <v>2284</v>
      </c>
      <c r="C2" s="862"/>
      <c r="D2" s="862"/>
      <c r="E2" s="862"/>
      <c r="F2" s="862"/>
      <c r="I2" s="1715" t="s">
        <v>0</v>
      </c>
      <c r="J2" s="1719"/>
      <c r="K2" s="1940"/>
      <c r="L2" s="622" t="s">
        <v>2241</v>
      </c>
      <c r="P2" s="745"/>
      <c r="Q2" s="745"/>
      <c r="R2" s="469"/>
      <c r="S2" s="469"/>
    </row>
    <row r="3" spans="2:19" s="744" customFormat="1" ht="41.4" x14ac:dyDescent="0.25">
      <c r="B3" s="1947" t="s">
        <v>2305</v>
      </c>
      <c r="C3" s="1947"/>
      <c r="D3" s="1947"/>
      <c r="E3" s="1947"/>
      <c r="F3" s="1947"/>
      <c r="G3" s="1947"/>
      <c r="H3" s="1948"/>
      <c r="I3" s="834" t="s">
        <v>1887</v>
      </c>
      <c r="J3" s="833" t="s">
        <v>2261</v>
      </c>
      <c r="K3" s="835" t="s">
        <v>1889</v>
      </c>
      <c r="L3" s="746" t="str">
        <f>'2. Roles &amp; Pricing'!L3</f>
        <v>ROPE Ready for Upload</v>
      </c>
      <c r="P3" s="745"/>
      <c r="Q3" s="745"/>
      <c r="R3" s="469"/>
      <c r="S3" s="469"/>
    </row>
    <row r="4" spans="2:19" s="744" customFormat="1" ht="7.95" customHeight="1" x14ac:dyDescent="0.25">
      <c r="B4" s="747"/>
      <c r="C4" s="747"/>
      <c r="D4" s="747"/>
      <c r="E4" s="747"/>
      <c r="F4" s="747"/>
      <c r="J4" s="734"/>
      <c r="P4" s="745"/>
      <c r="Q4" s="745"/>
      <c r="R4" s="469"/>
      <c r="S4" s="469"/>
    </row>
    <row r="5" spans="2:19" s="407" customFormat="1" ht="19.95" customHeight="1" x14ac:dyDescent="0.25">
      <c r="B5" s="740" t="s">
        <v>2</v>
      </c>
      <c r="C5" s="740"/>
      <c r="D5" s="740"/>
      <c r="E5" s="740"/>
      <c r="F5" s="740"/>
      <c r="G5" s="402"/>
      <c r="H5" s="402"/>
      <c r="I5" s="402"/>
      <c r="J5" s="574"/>
      <c r="P5" s="852"/>
      <c r="Q5" s="852"/>
      <c r="R5" s="406"/>
      <c r="S5" s="406"/>
    </row>
    <row r="6" spans="2:19" s="406" customFormat="1" ht="21" customHeight="1" x14ac:dyDescent="0.3">
      <c r="B6" s="1952" t="s">
        <v>3684</v>
      </c>
      <c r="C6" s="1952"/>
      <c r="D6" s="1952"/>
      <c r="E6" s="1597"/>
      <c r="F6" s="1597"/>
      <c r="J6" s="1598"/>
      <c r="P6" s="852"/>
      <c r="Q6" s="852"/>
    </row>
    <row r="7" spans="2:19" s="407" customFormat="1" ht="15" customHeight="1" x14ac:dyDescent="0.25">
      <c r="B7" s="1950" t="s">
        <v>3686</v>
      </c>
      <c r="C7" s="1950"/>
      <c r="D7" s="1950"/>
      <c r="E7" s="1950"/>
      <c r="F7" s="1950"/>
      <c r="G7" s="1950"/>
      <c r="H7" s="1950"/>
      <c r="I7" s="1950"/>
      <c r="J7" s="1950"/>
      <c r="P7" s="852"/>
      <c r="Q7" s="852"/>
      <c r="R7" s="406"/>
      <c r="S7" s="406"/>
    </row>
    <row r="8" spans="2:19" s="407" customFormat="1" ht="25.95" customHeight="1" x14ac:dyDescent="0.25">
      <c r="B8" s="1950"/>
      <c r="C8" s="1950"/>
      <c r="D8" s="1950"/>
      <c r="E8" s="1950"/>
      <c r="F8" s="1950"/>
      <c r="G8" s="1950"/>
      <c r="H8" s="1950"/>
      <c r="I8" s="1950"/>
      <c r="J8" s="1950"/>
      <c r="P8" s="852"/>
      <c r="Q8" s="852"/>
      <c r="R8" s="406"/>
      <c r="S8" s="406"/>
    </row>
    <row r="9" spans="2:19" s="407" customFormat="1" ht="15" customHeight="1" x14ac:dyDescent="0.25">
      <c r="B9" s="853"/>
      <c r="C9" s="853"/>
      <c r="D9" s="853"/>
      <c r="E9" s="853"/>
      <c r="F9" s="853"/>
      <c r="G9" s="853"/>
      <c r="H9" s="853"/>
      <c r="I9" s="853"/>
      <c r="J9" s="853"/>
      <c r="P9" s="852"/>
      <c r="Q9" s="852"/>
      <c r="R9" s="406"/>
      <c r="S9" s="406"/>
    </row>
    <row r="10" spans="2:19" ht="24" customHeight="1" x14ac:dyDescent="0.25">
      <c r="B10" s="756" t="s">
        <v>1885</v>
      </c>
      <c r="C10" s="756"/>
      <c r="D10" s="756"/>
      <c r="E10" s="756"/>
      <c r="F10" s="756"/>
      <c r="G10" s="748"/>
      <c r="H10" s="748"/>
      <c r="I10" s="748"/>
      <c r="J10" s="748"/>
    </row>
    <row r="11" spans="2:19" x14ac:dyDescent="0.25">
      <c r="B11" s="1951" t="s">
        <v>3284</v>
      </c>
      <c r="C11" s="1951"/>
      <c r="D11" s="1951"/>
      <c r="E11" s="444"/>
      <c r="F11" s="444"/>
    </row>
    <row r="12" spans="2:19" x14ac:dyDescent="0.25">
      <c r="B12" s="1949" t="s">
        <v>2288</v>
      </c>
      <c r="C12" s="1897"/>
      <c r="D12" s="1897"/>
      <c r="E12" s="1897"/>
      <c r="F12" s="1898"/>
      <c r="G12" s="1551"/>
      <c r="H12" s="1551"/>
      <c r="I12" s="1551"/>
      <c r="J12" s="1551"/>
    </row>
    <row r="13" spans="2:19" s="411" customFormat="1" x14ac:dyDescent="0.25">
      <c r="B13" s="873" t="s">
        <v>1304</v>
      </c>
      <c r="C13" s="1938" t="str">
        <f>'1. Project Inputs'!C18</f>
        <v>C Spire</v>
      </c>
      <c r="D13" s="1938"/>
      <c r="E13" s="1938"/>
      <c r="F13" s="1939"/>
      <c r="M13" s="1931"/>
      <c r="N13" s="1931"/>
      <c r="P13" s="632"/>
      <c r="Q13" s="632"/>
      <c r="R13" s="395"/>
      <c r="S13" s="395"/>
    </row>
    <row r="14" spans="2:19" s="411" customFormat="1" x14ac:dyDescent="0.25">
      <c r="B14" s="869" t="s">
        <v>1886</v>
      </c>
      <c r="C14" s="1932" t="s">
        <v>4</v>
      </c>
      <c r="D14" s="1932"/>
      <c r="E14" s="1932"/>
      <c r="F14" s="1933"/>
      <c r="M14" s="476"/>
      <c r="N14" s="476"/>
      <c r="O14" s="632"/>
      <c r="P14" s="395"/>
      <c r="Q14" s="395"/>
    </row>
    <row r="15" spans="2:19" s="411" customFormat="1" x14ac:dyDescent="0.25">
      <c r="B15" s="869" t="s">
        <v>1888</v>
      </c>
      <c r="C15" s="1932" t="s">
        <v>4</v>
      </c>
      <c r="D15" s="1932"/>
      <c r="E15" s="1932"/>
      <c r="F15" s="1933"/>
      <c r="M15" s="476"/>
      <c r="N15" s="476"/>
      <c r="P15" s="632"/>
      <c r="Q15" s="632"/>
      <c r="R15" s="395"/>
      <c r="S15" s="395"/>
    </row>
    <row r="16" spans="2:19" s="411" customFormat="1" x14ac:dyDescent="0.25">
      <c r="B16" s="869" t="s">
        <v>22</v>
      </c>
      <c r="C16" s="1934" t="str">
        <f>'1. Project Inputs'!C23</f>
        <v>Green Dot Marketing 2025</v>
      </c>
      <c r="D16" s="1934"/>
      <c r="E16" s="1934"/>
      <c r="F16" s="1935"/>
      <c r="M16" s="476"/>
      <c r="N16" s="476"/>
      <c r="P16" s="632"/>
      <c r="Q16" s="632"/>
      <c r="R16" s="395"/>
      <c r="S16" s="395"/>
    </row>
    <row r="17" spans="2:19" s="411" customFormat="1" x14ac:dyDescent="0.25">
      <c r="B17" s="869" t="s">
        <v>23</v>
      </c>
      <c r="C17" s="1936" t="str">
        <f>'1. Project Inputs'!C24</f>
        <v>Digital - Systems Implementation</v>
      </c>
      <c r="D17" s="1936"/>
      <c r="E17" s="1936"/>
      <c r="F17" s="1937"/>
      <c r="P17" s="632"/>
      <c r="Q17" s="632"/>
      <c r="R17" s="395"/>
      <c r="S17" s="395"/>
    </row>
    <row r="18" spans="2:19" s="411" customFormat="1" x14ac:dyDescent="0.25">
      <c r="B18" s="869" t="s">
        <v>49</v>
      </c>
      <c r="C18" s="1936" t="str">
        <f>'1. Project Inputs'!C25</f>
        <v>Standard Rates</v>
      </c>
      <c r="D18" s="1936"/>
      <c r="E18" s="1936"/>
      <c r="F18" s="1937"/>
      <c r="P18" s="632"/>
      <c r="Q18" s="632"/>
      <c r="R18" s="395"/>
      <c r="S18" s="395"/>
    </row>
    <row r="19" spans="2:19" s="411" customFormat="1" x14ac:dyDescent="0.25">
      <c r="B19" s="869" t="s">
        <v>1890</v>
      </c>
      <c r="C19" s="1941">
        <f>'1. Project Inputs'!C27</f>
        <v>45916</v>
      </c>
      <c r="D19" s="1941"/>
      <c r="E19" s="1941"/>
      <c r="F19" s="1942"/>
      <c r="P19" s="632"/>
      <c r="Q19" s="632"/>
      <c r="R19" s="395"/>
      <c r="S19" s="395"/>
    </row>
    <row r="20" spans="2:19" s="411" customFormat="1" x14ac:dyDescent="0.25">
      <c r="B20" s="876" t="s">
        <v>50</v>
      </c>
      <c r="C20" s="1943">
        <f>'1. Project Inputs'!C29</f>
        <v>30</v>
      </c>
      <c r="D20" s="1944"/>
      <c r="E20" s="1944"/>
      <c r="F20" s="1945"/>
      <c r="P20" s="632"/>
      <c r="Q20" s="632"/>
      <c r="R20" s="395"/>
      <c r="S20" s="395"/>
    </row>
    <row r="21" spans="2:19" x14ac:dyDescent="0.25">
      <c r="B21" s="581"/>
      <c r="C21" s="581"/>
      <c r="D21" s="581"/>
      <c r="E21" s="581"/>
      <c r="F21" s="581"/>
      <c r="G21" s="750"/>
    </row>
    <row r="22" spans="2:19" ht="24" customHeight="1" x14ac:dyDescent="0.25">
      <c r="B22" s="756" t="s">
        <v>1891</v>
      </c>
      <c r="C22" s="756"/>
      <c r="D22" s="756"/>
      <c r="E22" s="756"/>
      <c r="F22" s="756"/>
      <c r="G22" s="748"/>
      <c r="H22" s="748"/>
      <c r="I22" s="748"/>
      <c r="J22" s="748"/>
    </row>
    <row r="23" spans="2:19" ht="33" customHeight="1" x14ac:dyDescent="0.25">
      <c r="B23" s="1946" t="s">
        <v>2394</v>
      </c>
      <c r="C23" s="1946"/>
      <c r="D23" s="1946"/>
      <c r="E23" s="1946"/>
      <c r="F23" s="1946"/>
      <c r="G23" s="1946"/>
      <c r="H23" s="1946"/>
      <c r="I23" s="1946"/>
      <c r="J23" s="1946"/>
    </row>
    <row r="24" spans="2:19" ht="22.05" customHeight="1" x14ac:dyDescent="0.25">
      <c r="B24" s="1611" t="s">
        <v>2370</v>
      </c>
      <c r="C24" s="1893" t="s">
        <v>1892</v>
      </c>
      <c r="D24" s="1894"/>
      <c r="E24" s="1894"/>
      <c r="F24" s="1894"/>
      <c r="G24" s="1894"/>
      <c r="H24" s="1895"/>
      <c r="I24" s="1612" t="s">
        <v>3682</v>
      </c>
      <c r="J24" s="1612" t="s">
        <v>1893</v>
      </c>
      <c r="K24" s="1613"/>
      <c r="L24" s="1614"/>
      <c r="S24" s="754"/>
    </row>
    <row r="25" spans="2:19" ht="22.05" customHeight="1" x14ac:dyDescent="0.25">
      <c r="B25" s="1605" t="s">
        <v>1894</v>
      </c>
      <c r="C25" s="1929"/>
      <c r="D25" s="1929"/>
      <c r="E25" s="1929"/>
      <c r="F25" s="1929"/>
      <c r="G25" s="1593"/>
      <c r="H25" s="1593"/>
      <c r="I25" s="1593"/>
      <c r="J25" s="1593"/>
      <c r="K25" s="1593"/>
      <c r="L25" s="1606"/>
      <c r="S25" s="412"/>
    </row>
    <row r="26" spans="2:19" ht="19.95" customHeight="1" x14ac:dyDescent="0.25">
      <c r="B26" s="998" t="s">
        <v>109</v>
      </c>
      <c r="C26" s="1974">
        <f>'4. Summary &amp; Totals'!C61</f>
        <v>997395</v>
      </c>
      <c r="D26" s="1975"/>
      <c r="E26" s="1975"/>
      <c r="F26" s="1975"/>
      <c r="G26" s="1975"/>
      <c r="H26" s="1976"/>
      <c r="I26" s="1601"/>
      <c r="J26" s="1987"/>
      <c r="K26" s="1987"/>
      <c r="L26" s="1988"/>
    </row>
    <row r="27" spans="2:19" ht="19.95" customHeight="1" x14ac:dyDescent="0.25">
      <c r="B27" s="999" t="s">
        <v>1673</v>
      </c>
      <c r="C27" s="1977">
        <f>'4. Summary &amp; Totals'!C37</f>
        <v>0.58280428841706955</v>
      </c>
      <c r="D27" s="1978"/>
      <c r="E27" s="1978"/>
      <c r="F27" s="1978"/>
      <c r="G27" s="1978"/>
      <c r="H27" s="1979"/>
      <c r="I27" s="1599"/>
      <c r="J27" s="1966"/>
      <c r="K27" s="1966"/>
      <c r="L27" s="1967"/>
    </row>
    <row r="28" spans="2:19" ht="19.95" customHeight="1" x14ac:dyDescent="0.25">
      <c r="B28" s="999" t="s">
        <v>3400</v>
      </c>
      <c r="C28" s="1980" t="s">
        <v>3687</v>
      </c>
      <c r="D28" s="1981"/>
      <c r="E28" s="1981"/>
      <c r="F28" s="1981"/>
      <c r="G28" s="1981"/>
      <c r="H28" s="1982"/>
      <c r="I28" s="1599"/>
      <c r="J28" s="1966"/>
      <c r="K28" s="1966"/>
      <c r="L28" s="1967"/>
    </row>
    <row r="29" spans="2:19" ht="19.95" customHeight="1" x14ac:dyDescent="0.25">
      <c r="B29" s="1547"/>
      <c r="C29" s="1983" t="s">
        <v>1895</v>
      </c>
      <c r="D29" s="1984"/>
      <c r="E29" s="1984"/>
      <c r="F29" s="1985"/>
      <c r="G29" s="1983" t="s">
        <v>1896</v>
      </c>
      <c r="H29" s="1986"/>
      <c r="I29" s="1600"/>
      <c r="J29" s="1966"/>
      <c r="K29" s="1966"/>
      <c r="L29" s="1967"/>
    </row>
    <row r="30" spans="2:19" ht="19.95" customHeight="1" x14ac:dyDescent="0.25">
      <c r="B30" s="999" t="s">
        <v>1897</v>
      </c>
      <c r="C30" s="1885">
        <f>'4. Summary &amp; Totals'!C54</f>
        <v>106.39810426540285</v>
      </c>
      <c r="D30" s="1886"/>
      <c r="E30" s="1886"/>
      <c r="F30" s="1887"/>
      <c r="G30" s="1881">
        <f>'2. Roles &amp; Pricing'!F289/'2. Roles &amp; Pricing'!M289</f>
        <v>46.791469194312796</v>
      </c>
      <c r="H30" s="1882"/>
      <c r="I30" s="1599" t="str">
        <f>IF(OR(C30="",E30=""),"MISSING INFO","")</f>
        <v>MISSING INFO</v>
      </c>
      <c r="J30" s="1966"/>
      <c r="K30" s="1966"/>
      <c r="L30" s="1967"/>
    </row>
    <row r="31" spans="2:19" ht="19.95" customHeight="1" x14ac:dyDescent="0.25">
      <c r="B31" s="999" t="s">
        <v>1898</v>
      </c>
      <c r="C31" s="1885">
        <f>'4. Summary &amp; Totals'!C86</f>
        <v>171.66666666666666</v>
      </c>
      <c r="D31" s="1886"/>
      <c r="E31" s="1886"/>
      <c r="F31" s="1887"/>
      <c r="G31" s="1881">
        <f>SUMIFS('2. Roles &amp; Pricing'!$F$291:$F$390,'2. Roles &amp; Pricing'!$W$48:$W$147,"Onshore")/SUMIFS('2. Roles &amp; Pricing'!$M$291:$M$390,'2. Roles &amp; Pricing'!$W$48:$W$147,"Onshore")</f>
        <v>81.666666666666671</v>
      </c>
      <c r="H31" s="1882"/>
      <c r="I31" s="1599" t="str">
        <f>IF(OR(C31="",E31=""),"MISSING INFO","")</f>
        <v>MISSING INFO</v>
      </c>
      <c r="J31" s="1966"/>
      <c r="K31" s="1966"/>
      <c r="L31" s="1967"/>
    </row>
    <row r="32" spans="2:19" ht="19.95" customHeight="1" x14ac:dyDescent="0.25">
      <c r="B32" s="1000" t="s">
        <v>1899</v>
      </c>
      <c r="C32" s="1888">
        <f>'4. Summary &amp; Totals'!C85</f>
        <v>57.851239669421489</v>
      </c>
      <c r="D32" s="1889"/>
      <c r="E32" s="1889"/>
      <c r="F32" s="1890"/>
      <c r="G32" s="1883">
        <f>IFERROR(SUMIFS('2. Roles &amp; Pricing'!$F$291:$F$390,'2. Roles &amp; Pricing'!$W$48:$W$147,"Offshore")/SUMIFS('2. Roles &amp; Pricing'!$M$291:$M$390,'2. Roles &amp; Pricing'!$W$48:$W$147,"Offshore"),"")</f>
        <v>20.851239669421489</v>
      </c>
      <c r="H32" s="1884"/>
      <c r="I32" s="1602"/>
      <c r="J32" s="1891"/>
      <c r="K32" s="1891"/>
      <c r="L32" s="1892"/>
    </row>
    <row r="33" spans="2:12" x14ac:dyDescent="0.25">
      <c r="B33" s="1001"/>
      <c r="C33" s="1001"/>
      <c r="D33" s="1001"/>
      <c r="E33" s="1001"/>
      <c r="F33" s="1001"/>
      <c r="G33" s="1002"/>
      <c r="H33" s="1003"/>
      <c r="I33" s="1003"/>
      <c r="J33" s="1003"/>
    </row>
    <row r="34" spans="2:12" ht="22.05" customHeight="1" x14ac:dyDescent="0.25">
      <c r="B34" s="1910" t="s">
        <v>1900</v>
      </c>
      <c r="C34" s="1919"/>
      <c r="D34" s="1919"/>
      <c r="E34" s="1919"/>
      <c r="F34" s="1919"/>
      <c r="G34" s="1919"/>
      <c r="H34" s="1919"/>
      <c r="I34" s="1930"/>
      <c r="J34" s="1896"/>
      <c r="K34" s="1897"/>
      <c r="L34" s="1898"/>
    </row>
    <row r="35" spans="2:12" ht="22.05" customHeight="1" x14ac:dyDescent="0.25">
      <c r="B35" s="1603" t="s">
        <v>1901</v>
      </c>
      <c r="C35" s="1923" t="str">
        <f>'1. Project Inputs'!C28</f>
        <v>T&amp;M</v>
      </c>
      <c r="D35" s="1924"/>
      <c r="E35" s="1924"/>
      <c r="F35" s="1924"/>
      <c r="G35" s="1924"/>
      <c r="H35" s="1925"/>
      <c r="I35" s="1604" t="str">
        <f>IFERROR(IF(VLOOKUP(C35,P75:R78,3,0)=0,"",VLOOKUP(C35,P75:R78,3,0)),"MISSING INFO")</f>
        <v>MISSING INFO</v>
      </c>
      <c r="J35" s="1899"/>
      <c r="K35" s="1900"/>
      <c r="L35" s="1901"/>
    </row>
    <row r="36" spans="2:12" ht="22.05" customHeight="1" x14ac:dyDescent="0.25">
      <c r="B36" s="1000" t="s">
        <v>1902</v>
      </c>
      <c r="C36" s="1926">
        <f>'4. Summary &amp; Totals'!C56</f>
        <v>0.05</v>
      </c>
      <c r="D36" s="1927"/>
      <c r="E36" s="1927"/>
      <c r="F36" s="1927"/>
      <c r="G36" s="1927"/>
      <c r="H36" s="1928"/>
      <c r="I36" s="1004" t="str">
        <f>IF(C36="","MISSING INFO",IFERROR(IF(C36&lt;VLOOKUP(C35,P75:Q78,2,0),"&lt;"&amp;TEXT(VLOOKUP(C35,P75:Q78,2,0),"0%"),""),"MISSING INFO"))</f>
        <v>MISSING INFO</v>
      </c>
      <c r="J36" s="1962"/>
      <c r="K36" s="1963"/>
      <c r="L36" s="1964"/>
    </row>
    <row r="37" spans="2:12" x14ac:dyDescent="0.25">
      <c r="B37" s="751"/>
      <c r="C37" s="751"/>
      <c r="D37" s="751"/>
      <c r="E37" s="751"/>
      <c r="F37" s="751"/>
      <c r="G37" s="752"/>
      <c r="H37" s="753"/>
      <c r="I37" s="753"/>
      <c r="J37" s="753"/>
    </row>
    <row r="38" spans="2:12" ht="24" customHeight="1" x14ac:dyDescent="0.25">
      <c r="B38" s="1971" t="s">
        <v>1903</v>
      </c>
      <c r="C38" s="1972"/>
      <c r="D38" s="1972"/>
      <c r="E38" s="1972"/>
      <c r="F38" s="1972"/>
      <c r="G38" s="1972"/>
      <c r="H38" s="1972"/>
      <c r="I38" s="1972"/>
      <c r="J38" s="1972"/>
      <c r="K38" s="1972"/>
      <c r="L38" s="1912"/>
    </row>
    <row r="39" spans="2:12" ht="25.05" customHeight="1" x14ac:dyDescent="0.25">
      <c r="B39" s="998" t="s">
        <v>1904</v>
      </c>
      <c r="C39" s="1989">
        <f>COUNTA('2. Roles &amp; Pricing'!$K$48:$K$147)</f>
        <v>8</v>
      </c>
      <c r="D39" s="1990"/>
      <c r="E39" s="1990"/>
      <c r="F39" s="1990"/>
      <c r="G39" s="1990"/>
      <c r="H39" s="1991"/>
      <c r="I39" s="1005" t="str">
        <f>IF(G39="","MISSING INFO","")</f>
        <v>MISSING INFO</v>
      </c>
      <c r="J39" s="1998"/>
      <c r="K39" s="1987"/>
      <c r="L39" s="1988"/>
    </row>
    <row r="40" spans="2:12" ht="30" customHeight="1" x14ac:dyDescent="0.25">
      <c r="B40" s="999" t="s">
        <v>1905</v>
      </c>
      <c r="C40" s="1992" t="s">
        <v>216</v>
      </c>
      <c r="D40" s="1993"/>
      <c r="E40" s="1993"/>
      <c r="F40" s="1993"/>
      <c r="G40" s="1993"/>
      <c r="H40" s="1994"/>
      <c r="I40" s="997" t="str">
        <f>IFERROR(IF(VLOOKUP(C40,P82:R83,3,0)=0,"",VLOOKUP(C40,P82:R83,3,0)),"MISSING INFO")</f>
        <v>MISSING INFO</v>
      </c>
      <c r="J40" s="1965"/>
      <c r="K40" s="1966"/>
      <c r="L40" s="1967"/>
    </row>
    <row r="41" spans="2:12" ht="14.55" customHeight="1" x14ac:dyDescent="0.25">
      <c r="B41" s="999" t="s">
        <v>1907</v>
      </c>
      <c r="C41" s="1995" t="str">
        <f>IF(SUM(G42:G49)&lt;&gt;0,SUM(G42:G49),"")</f>
        <v/>
      </c>
      <c r="D41" s="1996"/>
      <c r="E41" s="1996"/>
      <c r="F41" s="1996"/>
      <c r="G41" s="1996"/>
      <c r="H41" s="1997"/>
      <c r="I41" s="997" t="str">
        <f>IF(H41="","MISSING INFO",IF(H41&lt;Q85,"&lt;"&amp;TEXT(Q85,"0%"),""))</f>
        <v>MISSING INFO</v>
      </c>
      <c r="J41" s="1965"/>
      <c r="K41" s="1966"/>
      <c r="L41" s="1967"/>
    </row>
    <row r="42" spans="2:12" x14ac:dyDescent="0.25">
      <c r="B42" s="1006"/>
      <c r="C42" s="1904" t="s">
        <v>3401</v>
      </c>
      <c r="D42" s="1905"/>
      <c r="E42" s="1906" t="s">
        <v>119</v>
      </c>
      <c r="F42" s="1907"/>
      <c r="G42" s="1908" t="s">
        <v>1929</v>
      </c>
      <c r="H42" s="1909"/>
      <c r="I42" s="1555"/>
      <c r="J42" s="1965"/>
      <c r="K42" s="1966"/>
      <c r="L42" s="1967"/>
    </row>
    <row r="43" spans="2:12" ht="21" customHeight="1" x14ac:dyDescent="0.25">
      <c r="B43" s="1006"/>
      <c r="C43" s="1557" t="s">
        <v>2101</v>
      </c>
      <c r="D43" s="1557" t="s">
        <v>3402</v>
      </c>
      <c r="E43" s="1557" t="s">
        <v>2101</v>
      </c>
      <c r="F43" s="1557" t="s">
        <v>3402</v>
      </c>
      <c r="G43" s="1557" t="s">
        <v>2101</v>
      </c>
      <c r="H43" s="1557" t="s">
        <v>3402</v>
      </c>
      <c r="I43" s="1555"/>
      <c r="J43" s="1965"/>
      <c r="K43" s="1966"/>
      <c r="L43" s="1967"/>
    </row>
    <row r="44" spans="2:12" ht="21" customHeight="1" x14ac:dyDescent="0.25">
      <c r="B44" s="999" t="s">
        <v>1908</v>
      </c>
      <c r="C44" s="1557"/>
      <c r="D44" s="1557"/>
      <c r="E44" s="1557"/>
      <c r="F44" s="1557"/>
      <c r="G44" s="1557"/>
      <c r="H44" s="1557"/>
      <c r="I44" s="1555"/>
      <c r="J44" s="1965"/>
      <c r="K44" s="1966"/>
      <c r="L44" s="1967"/>
    </row>
    <row r="45" spans="2:12" ht="21" customHeight="1" x14ac:dyDescent="0.25">
      <c r="B45" s="999" t="s">
        <v>3403</v>
      </c>
      <c r="C45" s="1557"/>
      <c r="D45" s="1557"/>
      <c r="E45" s="1557"/>
      <c r="F45" s="1557"/>
      <c r="G45" s="1557"/>
      <c r="H45" s="1557"/>
      <c r="I45" s="1555"/>
      <c r="J45" s="1965"/>
      <c r="K45" s="1966"/>
      <c r="L45" s="1967"/>
    </row>
    <row r="46" spans="2:12" ht="21" customHeight="1" x14ac:dyDescent="0.25">
      <c r="B46" s="999" t="s">
        <v>3404</v>
      </c>
      <c r="C46" s="1557"/>
      <c r="D46" s="1557"/>
      <c r="E46" s="1557"/>
      <c r="F46" s="1557"/>
      <c r="G46" s="1557"/>
      <c r="H46" s="1557"/>
      <c r="I46" s="1555"/>
      <c r="J46" s="1965"/>
      <c r="K46" s="1966"/>
      <c r="L46" s="1967"/>
    </row>
    <row r="47" spans="2:12" ht="21" customHeight="1" x14ac:dyDescent="0.25">
      <c r="B47" s="999" t="s">
        <v>3405</v>
      </c>
      <c r="C47" s="1552"/>
      <c r="D47" s="1552"/>
      <c r="E47" s="1552"/>
      <c r="F47" s="1552"/>
      <c r="G47" s="1553"/>
      <c r="H47" s="1554"/>
      <c r="I47" s="1555"/>
      <c r="J47" s="1965"/>
      <c r="K47" s="1966"/>
      <c r="L47" s="1967"/>
    </row>
    <row r="48" spans="2:12" ht="21" customHeight="1" x14ac:dyDescent="0.25">
      <c r="B48" s="999" t="s">
        <v>3406</v>
      </c>
      <c r="C48" s="1552"/>
      <c r="D48" s="1552"/>
      <c r="E48" s="1552"/>
      <c r="F48" s="1552"/>
      <c r="G48" s="1553"/>
      <c r="H48" s="1554"/>
      <c r="I48" s="1555"/>
      <c r="J48" s="1965"/>
      <c r="K48" s="1966"/>
      <c r="L48" s="1967"/>
    </row>
    <row r="49" spans="2:12" ht="21" customHeight="1" x14ac:dyDescent="0.25">
      <c r="B49" s="999" t="s">
        <v>3407</v>
      </c>
      <c r="C49" s="1552"/>
      <c r="D49" s="1552"/>
      <c r="E49" s="1552"/>
      <c r="F49" s="1552"/>
      <c r="G49" s="1553"/>
      <c r="H49" s="1554"/>
      <c r="I49" s="1555"/>
      <c r="J49" s="1965"/>
      <c r="K49" s="1966"/>
      <c r="L49" s="1967"/>
    </row>
    <row r="50" spans="2:12" ht="45" customHeight="1" x14ac:dyDescent="0.25">
      <c r="B50" s="1000" t="s">
        <v>3408</v>
      </c>
      <c r="C50" s="1548"/>
      <c r="D50" s="1548"/>
      <c r="E50" s="1548"/>
      <c r="F50" s="1548"/>
      <c r="G50" s="1961"/>
      <c r="H50" s="1961"/>
      <c r="I50" s="1556"/>
      <c r="J50" s="1973"/>
      <c r="K50" s="1891"/>
      <c r="L50" s="1892"/>
    </row>
    <row r="51" spans="2:12" x14ac:dyDescent="0.25">
      <c r="B51" s="411"/>
      <c r="C51" s="411"/>
      <c r="D51" s="411"/>
      <c r="E51" s="411"/>
      <c r="F51" s="411"/>
      <c r="G51" s="411"/>
      <c r="H51" s="411"/>
      <c r="I51" s="411"/>
      <c r="J51" s="411"/>
    </row>
    <row r="52" spans="2:12" ht="24" customHeight="1" x14ac:dyDescent="0.25">
      <c r="B52" s="1910" t="s">
        <v>1909</v>
      </c>
      <c r="C52" s="1919"/>
      <c r="D52" s="1919"/>
      <c r="E52" s="1919"/>
      <c r="F52" s="1920"/>
      <c r="G52" s="1559"/>
      <c r="H52" s="1559"/>
      <c r="I52" s="1559"/>
      <c r="J52" s="1559"/>
    </row>
    <row r="53" spans="2:12" ht="45" customHeight="1" x14ac:dyDescent="0.25">
      <c r="B53" s="998" t="s">
        <v>1910</v>
      </c>
      <c r="C53" s="1913" t="s">
        <v>216</v>
      </c>
      <c r="D53" s="1914"/>
      <c r="E53" s="1914"/>
      <c r="F53" s="1915"/>
      <c r="G53" s="1560"/>
      <c r="H53" s="1560"/>
      <c r="I53" s="1561"/>
      <c r="J53" s="1562"/>
    </row>
    <row r="54" spans="2:12" ht="45" customHeight="1" x14ac:dyDescent="0.25">
      <c r="B54" s="1000" t="s">
        <v>1911</v>
      </c>
      <c r="C54" s="1916" t="s">
        <v>216</v>
      </c>
      <c r="D54" s="1917"/>
      <c r="E54" s="1917"/>
      <c r="F54" s="1918"/>
      <c r="G54" s="1560"/>
      <c r="H54" s="1560"/>
      <c r="I54" s="1561"/>
      <c r="J54" s="1562"/>
    </row>
    <row r="55" spans="2:12" ht="15" customHeight="1" x14ac:dyDescent="0.25">
      <c r="B55" s="751"/>
      <c r="C55" s="751"/>
      <c r="D55" s="751"/>
      <c r="E55" s="751"/>
      <c r="F55" s="751"/>
      <c r="G55" s="753"/>
      <c r="H55" s="411"/>
      <c r="I55" s="411"/>
      <c r="J55" s="753"/>
    </row>
    <row r="56" spans="2:12" ht="25.05" customHeight="1" x14ac:dyDescent="0.25">
      <c r="B56" s="1910" t="s">
        <v>1912</v>
      </c>
      <c r="C56" s="1911"/>
      <c r="D56" s="1911"/>
      <c r="E56" s="1911"/>
      <c r="F56" s="1911"/>
      <c r="G56" s="1912"/>
      <c r="H56" s="1559"/>
      <c r="I56" s="1559"/>
      <c r="J56" s="1559"/>
    </row>
    <row r="57" spans="2:12" ht="30" customHeight="1" x14ac:dyDescent="0.25">
      <c r="B57" s="1558" t="s">
        <v>1913</v>
      </c>
      <c r="C57" s="1921" t="s">
        <v>2297</v>
      </c>
      <c r="D57" s="1922"/>
      <c r="E57" s="1922"/>
      <c r="F57" s="1922"/>
      <c r="G57" s="1564" t="str">
        <f>IFERROR(IF(VLOOKUP(C57,P102:R103,3,0)=0,"",VLOOKUP(C57,P102:R103,3,0)),"MISSING INFO")</f>
        <v>MISSING INFO</v>
      </c>
      <c r="H57" s="1560"/>
      <c r="I57" s="1560"/>
      <c r="J57" s="1563"/>
    </row>
    <row r="58" spans="2:12" x14ac:dyDescent="0.25">
      <c r="B58" s="1558" t="s">
        <v>1914</v>
      </c>
      <c r="C58" s="1902" t="s">
        <v>2296</v>
      </c>
      <c r="D58" s="1903"/>
      <c r="E58" s="1903"/>
      <c r="F58" s="1903"/>
      <c r="G58" s="1565" t="str">
        <f>IFERROR(IF(VLOOKUP(C58,P105:R107,3,0)=0,"",VLOOKUP(C58,P105:R107,3,0)),"MISSING INFO")</f>
        <v>MISSING INFO</v>
      </c>
      <c r="H58" s="1560"/>
      <c r="I58" s="1560"/>
      <c r="J58" s="1563"/>
    </row>
    <row r="59" spans="2:12" ht="24" customHeight="1" x14ac:dyDescent="0.25">
      <c r="B59" s="1558" t="s">
        <v>1915</v>
      </c>
      <c r="C59" s="1902" t="s">
        <v>2298</v>
      </c>
      <c r="D59" s="1903"/>
      <c r="E59" s="1903"/>
      <c r="F59" s="1903"/>
      <c r="G59" s="1565" t="str">
        <f>IFERROR(IF(VLOOKUP(C59,P109:R111,3,0)=0,"",VLOOKUP(C59,P109:R111,3,0)),"MISSING INFO")</f>
        <v>MISSING INFO</v>
      </c>
      <c r="H59" s="1560"/>
      <c r="I59" s="1560"/>
      <c r="J59" s="1562"/>
    </row>
    <row r="60" spans="2:12" ht="13.95" customHeight="1" x14ac:dyDescent="0.25">
      <c r="B60" s="1558" t="s">
        <v>3409</v>
      </c>
      <c r="C60" s="1902" t="s">
        <v>2300</v>
      </c>
      <c r="D60" s="1903"/>
      <c r="E60" s="1903"/>
      <c r="F60" s="1903"/>
      <c r="G60" s="1565" t="str">
        <f>IFERROR(IF(VLOOKUP(C60,P115:R121,3,0)=0,"",VLOOKUP(C60,P115:R121,3,0)),"MISSING INFO")</f>
        <v>MISSING INFO</v>
      </c>
      <c r="H60" s="1560"/>
      <c r="I60" s="1560"/>
      <c r="J60" s="1563"/>
    </row>
    <row r="61" spans="2:12" ht="13.95" customHeight="1" x14ac:dyDescent="0.25">
      <c r="B61" s="1558" t="s">
        <v>3410</v>
      </c>
      <c r="C61" s="1902" t="s">
        <v>2299</v>
      </c>
      <c r="D61" s="1903"/>
      <c r="E61" s="1903"/>
      <c r="F61" s="1903"/>
      <c r="G61" s="1565" t="str">
        <f>IFERROR(IF(VLOOKUP(C61,P123:R124,3,0)=0,"",VLOOKUP(C61,P123:R124,3,0)),"MISSING INFO")</f>
        <v>MISSING INFO</v>
      </c>
      <c r="H61" s="1560"/>
      <c r="I61" s="1560"/>
      <c r="J61" s="1563"/>
    </row>
    <row r="62" spans="2:12" x14ac:dyDescent="0.25">
      <c r="B62" s="1558" t="s">
        <v>1916</v>
      </c>
      <c r="C62" s="1902" t="s">
        <v>2299</v>
      </c>
      <c r="D62" s="1903"/>
      <c r="E62" s="1903"/>
      <c r="F62" s="1903"/>
      <c r="G62" s="1565"/>
      <c r="H62" s="1560"/>
      <c r="I62" s="1560"/>
      <c r="J62" s="1563"/>
    </row>
    <row r="63" spans="2:12" x14ac:dyDescent="0.25">
      <c r="B63" s="1558" t="s">
        <v>3411</v>
      </c>
      <c r="C63" s="1953" t="s">
        <v>216</v>
      </c>
      <c r="D63" s="1954"/>
      <c r="E63" s="1954"/>
      <c r="F63" s="1954"/>
      <c r="G63" s="1566"/>
      <c r="H63" s="1560"/>
      <c r="I63" s="1560"/>
      <c r="J63" s="1563"/>
    </row>
    <row r="65" spans="2:18" ht="17.399999999999999" x14ac:dyDescent="0.25">
      <c r="B65" s="756" t="s">
        <v>1917</v>
      </c>
      <c r="C65" s="756"/>
      <c r="D65" s="756"/>
      <c r="E65" s="756"/>
      <c r="F65" s="756"/>
      <c r="G65" s="748"/>
      <c r="H65" s="748"/>
      <c r="I65" s="748"/>
      <c r="J65" s="748"/>
    </row>
    <row r="66" spans="2:18" x14ac:dyDescent="0.25">
      <c r="B66" s="581"/>
      <c r="C66" s="581"/>
      <c r="D66" s="581"/>
      <c r="E66" s="581"/>
      <c r="F66" s="581"/>
      <c r="G66" s="750"/>
    </row>
    <row r="67" spans="2:18" x14ac:dyDescent="0.25">
      <c r="B67" s="1156" t="s">
        <v>1918</v>
      </c>
      <c r="C67" s="1955" t="s">
        <v>1919</v>
      </c>
      <c r="D67" s="1956"/>
      <c r="E67" s="1956"/>
      <c r="F67" s="1957"/>
      <c r="G67" s="1959" t="s">
        <v>1919</v>
      </c>
      <c r="H67" s="1959"/>
      <c r="I67" s="1959"/>
      <c r="J67" s="1960"/>
    </row>
    <row r="68" spans="2:18" ht="42" customHeight="1" x14ac:dyDescent="0.25">
      <c r="B68" s="1160" t="str" cm="1">
        <f t="array" ref="B68">IF(COUNTIF(I26:I61,"="&amp;"MISSING INFO")&gt;0,P143,IF(SUMPRODUCT(--(LEN(I26:I61)))&gt;0,P141,P142))</f>
        <v>Missing Information</v>
      </c>
      <c r="C68" s="1549"/>
      <c r="D68" s="1549"/>
      <c r="E68" s="1549"/>
      <c r="F68" s="1549"/>
      <c r="G68" s="1968" t="str">
        <f>VLOOKUP(B68,P141:Q143,2,0)</f>
        <v>Complete all required fields above to clear all "MISSING INFO" error messages.</v>
      </c>
      <c r="H68" s="1969"/>
      <c r="I68" s="1969"/>
      <c r="J68" s="1970"/>
    </row>
    <row r="69" spans="2:18" s="395" customFormat="1" x14ac:dyDescent="0.25">
      <c r="B69" s="1157"/>
      <c r="C69" s="1550"/>
      <c r="D69" s="1550"/>
      <c r="E69" s="1550"/>
      <c r="F69" s="1550"/>
      <c r="G69" s="1158"/>
      <c r="H69" s="1158"/>
      <c r="I69" s="1158"/>
      <c r="J69" s="1158"/>
      <c r="P69" s="116" t="s">
        <v>1920</v>
      </c>
      <c r="Q69" s="116" t="s">
        <v>1921</v>
      </c>
      <c r="R69" s="117" t="s">
        <v>1922</v>
      </c>
    </row>
    <row r="70" spans="2:18" s="395" customFormat="1" x14ac:dyDescent="0.25">
      <c r="B70" s="556"/>
      <c r="C70" s="556"/>
      <c r="D70" s="556"/>
      <c r="E70" s="556"/>
      <c r="F70" s="556"/>
      <c r="G70" s="1159"/>
      <c r="H70" s="1159"/>
      <c r="I70" s="1159"/>
      <c r="J70" s="1159"/>
      <c r="P70" s="118" t="s">
        <v>109</v>
      </c>
      <c r="Q70" s="119">
        <v>2000000</v>
      </c>
      <c r="R70" s="120"/>
    </row>
    <row r="71" spans="2:18" s="395" customFormat="1" x14ac:dyDescent="0.25">
      <c r="B71" s="749"/>
      <c r="C71" s="749"/>
      <c r="D71" s="749"/>
      <c r="E71" s="749"/>
      <c r="F71" s="749"/>
      <c r="G71" s="749"/>
      <c r="H71" s="749"/>
      <c r="I71" s="749"/>
      <c r="J71" s="749"/>
      <c r="P71" s="118" t="s">
        <v>112</v>
      </c>
      <c r="Q71" s="121">
        <v>0.45</v>
      </c>
      <c r="R71" s="120"/>
    </row>
    <row r="73" spans="2:18" s="395" customFormat="1" x14ac:dyDescent="0.25">
      <c r="B73" s="749"/>
      <c r="C73" s="749"/>
      <c r="D73" s="749"/>
      <c r="E73" s="749"/>
      <c r="F73" s="749"/>
      <c r="P73" s="1958" t="s">
        <v>1901</v>
      </c>
      <c r="Q73" s="1958"/>
      <c r="R73" s="123"/>
    </row>
    <row r="74" spans="2:18" s="395" customFormat="1" ht="27.6" x14ac:dyDescent="0.25">
      <c r="B74" s="749"/>
      <c r="C74" s="749"/>
      <c r="D74" s="749"/>
      <c r="E74" s="749"/>
      <c r="F74" s="749"/>
      <c r="P74" s="116" t="s">
        <v>1901</v>
      </c>
      <c r="Q74" s="116" t="s">
        <v>1923</v>
      </c>
      <c r="R74" s="117"/>
    </row>
    <row r="75" spans="2:18" s="395" customFormat="1" x14ac:dyDescent="0.25">
      <c r="B75" s="749"/>
      <c r="C75" s="749"/>
      <c r="D75" s="749"/>
      <c r="E75" s="749"/>
      <c r="F75" s="749"/>
      <c r="P75" s="118" t="s">
        <v>1924</v>
      </c>
      <c r="Q75" s="124">
        <v>0.03</v>
      </c>
      <c r="R75" s="120"/>
    </row>
    <row r="76" spans="2:18" s="395" customFormat="1" x14ac:dyDescent="0.25">
      <c r="B76" s="749"/>
      <c r="C76" s="749"/>
      <c r="D76" s="749"/>
      <c r="E76" s="749"/>
      <c r="F76" s="749"/>
      <c r="G76" s="749"/>
      <c r="H76" s="749"/>
      <c r="I76" s="749"/>
      <c r="J76" s="749"/>
      <c r="P76" s="118" t="s">
        <v>1925</v>
      </c>
      <c r="Q76" s="124">
        <v>0.05</v>
      </c>
      <c r="R76" s="120" t="s">
        <v>1926</v>
      </c>
    </row>
    <row r="77" spans="2:18" s="395" customFormat="1" x14ac:dyDescent="0.25">
      <c r="P77" s="118" t="s">
        <v>1927</v>
      </c>
      <c r="Q77" s="124">
        <v>0.05</v>
      </c>
      <c r="R77" s="120"/>
    </row>
    <row r="78" spans="2:18" s="395" customFormat="1" x14ac:dyDescent="0.25">
      <c r="P78" s="118" t="s">
        <v>1928</v>
      </c>
      <c r="Q78" s="124">
        <v>0.1</v>
      </c>
      <c r="R78" s="120" t="s">
        <v>1926</v>
      </c>
    </row>
    <row r="79" spans="2:18" x14ac:dyDescent="0.25">
      <c r="B79" s="395"/>
      <c r="C79" s="395"/>
      <c r="D79" s="395"/>
      <c r="E79" s="395"/>
      <c r="F79" s="395"/>
      <c r="G79" s="395"/>
      <c r="H79" s="395"/>
      <c r="I79" s="395"/>
      <c r="J79" s="395"/>
    </row>
    <row r="80" spans="2:18" s="395" customFormat="1" x14ac:dyDescent="0.25">
      <c r="P80" s="122" t="s">
        <v>1929</v>
      </c>
      <c r="Q80" s="125"/>
      <c r="R80" s="126"/>
    </row>
    <row r="81" spans="2:18" s="395" customFormat="1" x14ac:dyDescent="0.25">
      <c r="P81" s="116" t="s">
        <v>1905</v>
      </c>
      <c r="Q81" s="127"/>
      <c r="R81" s="128"/>
    </row>
    <row r="82" spans="2:18" s="395" customFormat="1" x14ac:dyDescent="0.25">
      <c r="P82" s="129" t="s">
        <v>1930</v>
      </c>
      <c r="Q82" s="129"/>
      <c r="R82" s="120"/>
    </row>
    <row r="83" spans="2:18" s="395" customFormat="1" x14ac:dyDescent="0.25">
      <c r="B83" s="749"/>
      <c r="C83" s="749"/>
      <c r="D83" s="749"/>
      <c r="E83" s="749"/>
      <c r="F83" s="749"/>
      <c r="G83" s="749"/>
      <c r="H83" s="749"/>
      <c r="I83" s="749"/>
      <c r="J83" s="749"/>
      <c r="P83" s="129" t="s">
        <v>1931</v>
      </c>
      <c r="Q83" s="129"/>
      <c r="R83" s="120" t="s">
        <v>1926</v>
      </c>
    </row>
    <row r="84" spans="2:18" s="395" customFormat="1" x14ac:dyDescent="0.25">
      <c r="P84" s="116" t="s">
        <v>1932</v>
      </c>
      <c r="Q84" s="116" t="s">
        <v>1921</v>
      </c>
      <c r="R84" s="128"/>
    </row>
    <row r="85" spans="2:18" s="395" customFormat="1" x14ac:dyDescent="0.25">
      <c r="P85" s="129" t="s">
        <v>1906</v>
      </c>
      <c r="Q85" s="121">
        <v>0.3</v>
      </c>
      <c r="R85" s="120"/>
    </row>
    <row r="86" spans="2:18" s="395" customFormat="1" x14ac:dyDescent="0.25">
      <c r="P86" s="129" t="s">
        <v>1933</v>
      </c>
      <c r="Q86" s="121">
        <v>0.05</v>
      </c>
      <c r="R86" s="120"/>
    </row>
    <row r="87" spans="2:18" x14ac:dyDescent="0.25">
      <c r="B87" s="395"/>
      <c r="C87" s="395"/>
      <c r="D87" s="395"/>
      <c r="E87" s="395"/>
      <c r="F87" s="395"/>
      <c r="G87" s="395"/>
      <c r="H87" s="395"/>
      <c r="I87" s="395"/>
      <c r="J87" s="395"/>
    </row>
    <row r="88" spans="2:18" s="395" customFormat="1" x14ac:dyDescent="0.25">
      <c r="P88" s="1958" t="s">
        <v>1909</v>
      </c>
      <c r="Q88" s="1958"/>
      <c r="R88" s="126"/>
    </row>
    <row r="89" spans="2:18" s="395" customFormat="1" x14ac:dyDescent="0.25">
      <c r="P89" s="116" t="s">
        <v>1934</v>
      </c>
      <c r="Q89" s="116"/>
      <c r="R89" s="128"/>
    </row>
    <row r="90" spans="2:18" s="395" customFormat="1" x14ac:dyDescent="0.25">
      <c r="P90" s="118" t="s">
        <v>1935</v>
      </c>
      <c r="Q90" s="129"/>
      <c r="R90" s="120"/>
    </row>
    <row r="91" spans="2:18" s="395" customFormat="1" x14ac:dyDescent="0.25">
      <c r="B91" s="749"/>
      <c r="C91" s="749"/>
      <c r="D91" s="749"/>
      <c r="E91" s="749"/>
      <c r="F91" s="749"/>
      <c r="G91" s="749"/>
      <c r="H91" s="749"/>
      <c r="I91" s="749"/>
      <c r="J91" s="749"/>
      <c r="P91" s="118" t="s">
        <v>1936</v>
      </c>
      <c r="Q91" s="129"/>
      <c r="R91" s="120"/>
    </row>
    <row r="92" spans="2:18" s="395" customFormat="1" ht="26.4" x14ac:dyDescent="0.25">
      <c r="P92" s="118" t="s">
        <v>1937</v>
      </c>
      <c r="Q92" s="129"/>
      <c r="R92" s="120" t="s">
        <v>1926</v>
      </c>
    </row>
    <row r="93" spans="2:18" s="395" customFormat="1" x14ac:dyDescent="0.25">
      <c r="P93" s="118" t="s">
        <v>1938</v>
      </c>
      <c r="Q93" s="129"/>
      <c r="R93" s="120"/>
    </row>
    <row r="94" spans="2:18" s="395" customFormat="1" x14ac:dyDescent="0.25">
      <c r="P94" s="116" t="s">
        <v>1939</v>
      </c>
      <c r="Q94" s="116"/>
      <c r="R94" s="128"/>
    </row>
    <row r="95" spans="2:18" s="395" customFormat="1" ht="27.6" x14ac:dyDescent="0.25">
      <c r="P95" s="129" t="s">
        <v>1940</v>
      </c>
      <c r="Q95" s="120"/>
      <c r="R95" s="120"/>
    </row>
    <row r="96" spans="2:18" s="395" customFormat="1" ht="27.6" x14ac:dyDescent="0.25">
      <c r="P96" s="129" t="s">
        <v>1941</v>
      </c>
      <c r="Q96" s="120"/>
      <c r="R96" s="120"/>
    </row>
    <row r="97" spans="2:18" s="395" customFormat="1" x14ac:dyDescent="0.25">
      <c r="P97" s="129" t="s">
        <v>1942</v>
      </c>
      <c r="Q97" s="120"/>
      <c r="R97" s="120"/>
    </row>
    <row r="98" spans="2:18" s="395" customFormat="1" x14ac:dyDescent="0.25">
      <c r="P98" s="129" t="s">
        <v>1943</v>
      </c>
      <c r="Q98" s="120"/>
      <c r="R98" s="120" t="s">
        <v>1926</v>
      </c>
    </row>
    <row r="99" spans="2:18" x14ac:dyDescent="0.25">
      <c r="B99" s="395"/>
      <c r="C99" s="395"/>
      <c r="D99" s="395"/>
      <c r="E99" s="395"/>
      <c r="F99" s="395"/>
      <c r="G99" s="395"/>
      <c r="H99" s="395"/>
      <c r="I99" s="395"/>
      <c r="J99" s="395"/>
    </row>
    <row r="100" spans="2:18" s="395" customFormat="1" x14ac:dyDescent="0.25">
      <c r="P100" s="130" t="s">
        <v>1944</v>
      </c>
      <c r="Q100" s="130"/>
      <c r="R100" s="126"/>
    </row>
    <row r="101" spans="2:18" s="395" customFormat="1" x14ac:dyDescent="0.25">
      <c r="P101" s="116" t="s">
        <v>2297</v>
      </c>
      <c r="Q101" s="116"/>
      <c r="R101" s="128"/>
    </row>
    <row r="102" spans="2:18" s="395" customFormat="1" x14ac:dyDescent="0.25">
      <c r="P102" s="129" t="s">
        <v>1945</v>
      </c>
      <c r="Q102" s="129"/>
      <c r="R102" s="120"/>
    </row>
    <row r="103" spans="2:18" s="395" customFormat="1" x14ac:dyDescent="0.25">
      <c r="B103" s="749"/>
      <c r="C103" s="749"/>
      <c r="D103" s="749"/>
      <c r="E103" s="749"/>
      <c r="F103" s="749"/>
      <c r="G103" s="749"/>
      <c r="H103" s="749"/>
      <c r="I103" s="749"/>
      <c r="J103" s="749"/>
      <c r="P103" s="129" t="s">
        <v>1946</v>
      </c>
      <c r="Q103" s="129"/>
      <c r="R103" s="120" t="s">
        <v>1926</v>
      </c>
    </row>
    <row r="104" spans="2:18" s="395" customFormat="1" x14ac:dyDescent="0.25">
      <c r="P104" s="116" t="s">
        <v>2296</v>
      </c>
      <c r="Q104" s="116"/>
      <c r="R104" s="128"/>
    </row>
    <row r="105" spans="2:18" s="395" customFormat="1" x14ac:dyDescent="0.25">
      <c r="P105" s="129" t="s">
        <v>1947</v>
      </c>
      <c r="Q105" s="129"/>
      <c r="R105" s="120"/>
    </row>
    <row r="106" spans="2:18" s="395" customFormat="1" x14ac:dyDescent="0.25">
      <c r="P106" s="129" t="s">
        <v>1948</v>
      </c>
      <c r="Q106" s="129"/>
      <c r="R106" s="120"/>
    </row>
    <row r="107" spans="2:18" s="395" customFormat="1" x14ac:dyDescent="0.25">
      <c r="P107" s="129" t="s">
        <v>1949</v>
      </c>
      <c r="Q107" s="129"/>
      <c r="R107" s="120" t="s">
        <v>1926</v>
      </c>
    </row>
    <row r="108" spans="2:18" s="395" customFormat="1" x14ac:dyDescent="0.25">
      <c r="P108" s="117" t="s">
        <v>2298</v>
      </c>
      <c r="Q108" s="116"/>
      <c r="R108" s="128"/>
    </row>
    <row r="109" spans="2:18" s="395" customFormat="1" x14ac:dyDescent="0.25">
      <c r="P109" s="120" t="s">
        <v>1947</v>
      </c>
      <c r="Q109" s="129"/>
      <c r="R109" s="120"/>
    </row>
    <row r="110" spans="2:18" s="395" customFormat="1" x14ac:dyDescent="0.25">
      <c r="P110" s="120" t="s">
        <v>1950</v>
      </c>
      <c r="Q110" s="129"/>
      <c r="R110" s="120" t="s">
        <v>1926</v>
      </c>
    </row>
    <row r="111" spans="2:18" s="395" customFormat="1" x14ac:dyDescent="0.25">
      <c r="P111" s="120" t="s">
        <v>1951</v>
      </c>
      <c r="Q111" s="129"/>
      <c r="R111" s="120"/>
    </row>
    <row r="112" spans="2:18" s="395" customFormat="1" x14ac:dyDescent="0.25">
      <c r="Q112" s="632"/>
    </row>
    <row r="113" spans="2:18" s="395" customFormat="1" x14ac:dyDescent="0.25">
      <c r="P113" s="122" t="s">
        <v>299</v>
      </c>
      <c r="Q113" s="125"/>
      <c r="R113" s="126"/>
    </row>
    <row r="114" spans="2:18" s="395" customFormat="1" x14ac:dyDescent="0.25">
      <c r="P114" s="116" t="s">
        <v>2300</v>
      </c>
      <c r="Q114" s="127"/>
      <c r="R114" s="128"/>
    </row>
    <row r="115" spans="2:18" s="395" customFormat="1" x14ac:dyDescent="0.25">
      <c r="P115" s="129" t="s">
        <v>275</v>
      </c>
      <c r="Q115" s="129"/>
      <c r="R115" s="120"/>
    </row>
    <row r="116" spans="2:18" s="395" customFormat="1" x14ac:dyDescent="0.25">
      <c r="P116" s="129" t="s">
        <v>292</v>
      </c>
      <c r="Q116" s="129"/>
      <c r="R116" s="120" t="s">
        <v>1926</v>
      </c>
    </row>
    <row r="117" spans="2:18" s="395" customFormat="1" x14ac:dyDescent="0.25">
      <c r="P117" s="129" t="s">
        <v>300</v>
      </c>
      <c r="Q117" s="129"/>
      <c r="R117" s="120" t="s">
        <v>1926</v>
      </c>
    </row>
    <row r="118" spans="2:18" s="395" customFormat="1" x14ac:dyDescent="0.25">
      <c r="P118" s="129" t="s">
        <v>306</v>
      </c>
      <c r="Q118" s="129"/>
      <c r="R118" s="120" t="s">
        <v>1926</v>
      </c>
    </row>
    <row r="119" spans="2:18" s="395" customFormat="1" x14ac:dyDescent="0.25">
      <c r="P119" s="129" t="s">
        <v>313</v>
      </c>
      <c r="Q119" s="129"/>
      <c r="R119" s="120" t="s">
        <v>1926</v>
      </c>
    </row>
    <row r="120" spans="2:18" s="395" customFormat="1" x14ac:dyDescent="0.25">
      <c r="P120" s="129" t="s">
        <v>319</v>
      </c>
      <c r="Q120" s="129"/>
      <c r="R120" s="120" t="s">
        <v>1926</v>
      </c>
    </row>
    <row r="121" spans="2:18" s="395" customFormat="1" x14ac:dyDescent="0.25">
      <c r="P121" s="129" t="s">
        <v>1952</v>
      </c>
      <c r="Q121" s="129"/>
      <c r="R121" s="120" t="s">
        <v>1926</v>
      </c>
    </row>
    <row r="122" spans="2:18" s="395" customFormat="1" x14ac:dyDescent="0.25">
      <c r="P122" s="116" t="s">
        <v>2299</v>
      </c>
      <c r="Q122" s="127"/>
      <c r="R122" s="128"/>
    </row>
    <row r="123" spans="2:18" s="395" customFormat="1" x14ac:dyDescent="0.25">
      <c r="P123" s="129" t="s">
        <v>1953</v>
      </c>
      <c r="Q123" s="129"/>
      <c r="R123" s="120" t="s">
        <v>1926</v>
      </c>
    </row>
    <row r="124" spans="2:18" s="395" customFormat="1" x14ac:dyDescent="0.25">
      <c r="P124" s="129" t="s">
        <v>1954</v>
      </c>
      <c r="Q124" s="129"/>
      <c r="R124" s="120"/>
    </row>
    <row r="125" spans="2:18" x14ac:dyDescent="0.25">
      <c r="B125" s="395"/>
      <c r="C125" s="395"/>
      <c r="D125" s="395"/>
      <c r="E125" s="395"/>
      <c r="F125" s="395"/>
      <c r="G125" s="395"/>
      <c r="H125" s="395"/>
      <c r="I125" s="395"/>
      <c r="J125" s="395"/>
      <c r="P125" s="116" t="s">
        <v>216</v>
      </c>
      <c r="Q125" s="127"/>
      <c r="R125" s="128"/>
    </row>
    <row r="126" spans="2:18" ht="27.6" x14ac:dyDescent="0.25">
      <c r="B126" s="395"/>
      <c r="C126" s="395"/>
      <c r="D126" s="395"/>
      <c r="E126" s="395"/>
      <c r="F126" s="395"/>
      <c r="G126" s="395"/>
      <c r="H126" s="395"/>
      <c r="I126" s="395"/>
      <c r="J126" s="395"/>
      <c r="P126" s="129" t="s">
        <v>3412</v>
      </c>
      <c r="Q126" s="129"/>
      <c r="R126" s="120"/>
    </row>
    <row r="127" spans="2:18" s="395" customFormat="1" x14ac:dyDescent="0.25">
      <c r="P127" s="129" t="s">
        <v>3413</v>
      </c>
      <c r="Q127" s="129"/>
      <c r="R127" s="120"/>
    </row>
    <row r="128" spans="2:18" s="395" customFormat="1" x14ac:dyDescent="0.25">
      <c r="P128" s="2" t="s">
        <v>263</v>
      </c>
      <c r="Q128" s="5"/>
      <c r="R128" s="2"/>
    </row>
    <row r="129" spans="2:20" s="632" customFormat="1" x14ac:dyDescent="0.25">
      <c r="B129" s="749"/>
      <c r="C129" s="749"/>
      <c r="D129" s="749"/>
      <c r="E129" s="749"/>
      <c r="F129" s="749"/>
      <c r="G129" s="749"/>
      <c r="H129" s="749"/>
      <c r="I129" s="749"/>
      <c r="J129" s="749"/>
      <c r="P129" s="2" t="s">
        <v>277</v>
      </c>
      <c r="Q129" s="5"/>
      <c r="R129" s="2"/>
      <c r="S129" s="395"/>
    </row>
    <row r="130" spans="2:20" s="632" customFormat="1" x14ac:dyDescent="0.25">
      <c r="B130" s="749"/>
      <c r="C130" s="749"/>
      <c r="D130" s="749"/>
      <c r="E130" s="749"/>
      <c r="F130" s="749"/>
      <c r="G130" s="749"/>
      <c r="H130" s="749"/>
      <c r="I130" s="749"/>
      <c r="J130" s="749"/>
      <c r="P130" s="2" t="s">
        <v>289</v>
      </c>
      <c r="Q130" s="5"/>
      <c r="R130" s="2"/>
      <c r="S130" s="395"/>
    </row>
    <row r="131" spans="2:20" s="632" customFormat="1" x14ac:dyDescent="0.25">
      <c r="B131" s="395"/>
      <c r="C131" s="395"/>
      <c r="D131" s="395"/>
      <c r="E131" s="395"/>
      <c r="F131" s="395"/>
      <c r="G131" s="395"/>
      <c r="H131" s="395"/>
      <c r="I131" s="395"/>
      <c r="J131" s="395"/>
      <c r="P131" s="2" t="s">
        <v>298</v>
      </c>
      <c r="Q131" s="5"/>
      <c r="R131" s="2"/>
      <c r="S131" s="395"/>
    </row>
    <row r="132" spans="2:20" s="632" customFormat="1" x14ac:dyDescent="0.25">
      <c r="B132" s="395"/>
      <c r="C132" s="395"/>
      <c r="D132" s="395"/>
      <c r="E132" s="395"/>
      <c r="F132" s="395"/>
      <c r="G132" s="395"/>
      <c r="H132" s="395"/>
      <c r="I132" s="395"/>
      <c r="J132" s="395"/>
      <c r="P132" s="2" t="s">
        <v>305</v>
      </c>
      <c r="Q132" s="5"/>
      <c r="R132" s="2"/>
      <c r="S132" s="395"/>
    </row>
    <row r="133" spans="2:20" s="632" customFormat="1" x14ac:dyDescent="0.25">
      <c r="P133" s="2" t="s">
        <v>312</v>
      </c>
      <c r="Q133" s="5"/>
      <c r="R133" s="2"/>
      <c r="S133" s="395"/>
    </row>
    <row r="134" spans="2:20" x14ac:dyDescent="0.25">
      <c r="B134" s="632"/>
      <c r="C134" s="632"/>
      <c r="D134" s="632"/>
      <c r="E134" s="632"/>
      <c r="F134" s="632"/>
      <c r="G134" s="632"/>
      <c r="H134" s="632"/>
      <c r="I134" s="632"/>
      <c r="J134" s="632"/>
      <c r="P134" s="5"/>
      <c r="Q134" s="5"/>
      <c r="R134" s="2"/>
    </row>
    <row r="135" spans="2:20" s="632" customFormat="1" x14ac:dyDescent="0.25">
      <c r="P135" s="31" t="s">
        <v>49</v>
      </c>
      <c r="Q135" s="5"/>
      <c r="R135" s="2"/>
      <c r="S135" s="395"/>
    </row>
    <row r="136" spans="2:20" s="632" customFormat="1" x14ac:dyDescent="0.25">
      <c r="P136" s="2" t="s">
        <v>266</v>
      </c>
      <c r="Q136" s="5"/>
      <c r="R136" s="2"/>
      <c r="S136" s="395"/>
    </row>
    <row r="137" spans="2:20" s="632" customFormat="1" x14ac:dyDescent="0.25">
      <c r="P137" s="2" t="s">
        <v>281</v>
      </c>
      <c r="Q137" s="5"/>
      <c r="R137" s="2"/>
      <c r="S137" s="395"/>
    </row>
    <row r="138" spans="2:20" s="632" customFormat="1" x14ac:dyDescent="0.25">
      <c r="B138" s="749"/>
      <c r="C138" s="749"/>
      <c r="D138" s="749"/>
      <c r="E138" s="749"/>
      <c r="F138" s="749"/>
      <c r="G138" s="749"/>
      <c r="H138" s="749"/>
      <c r="I138" s="749"/>
      <c r="J138" s="749"/>
      <c r="P138" s="2" t="s">
        <v>291</v>
      </c>
      <c r="Q138" s="5"/>
      <c r="R138" s="2"/>
      <c r="S138" s="395"/>
    </row>
    <row r="139" spans="2:20" x14ac:dyDescent="0.25">
      <c r="B139" s="632"/>
      <c r="C139" s="632"/>
      <c r="D139" s="632"/>
      <c r="E139" s="632"/>
      <c r="F139" s="632"/>
      <c r="G139" s="632"/>
      <c r="H139" s="632"/>
      <c r="I139" s="632"/>
      <c r="J139" s="632"/>
      <c r="P139" s="5"/>
      <c r="Q139" s="5"/>
      <c r="R139" s="2"/>
    </row>
    <row r="140" spans="2:20" x14ac:dyDescent="0.25">
      <c r="B140" s="632"/>
      <c r="C140" s="632"/>
      <c r="D140" s="632"/>
      <c r="E140" s="632"/>
      <c r="F140" s="632"/>
      <c r="G140" s="632"/>
      <c r="H140" s="632"/>
      <c r="I140" s="632"/>
      <c r="J140" s="632"/>
      <c r="P140" s="131" t="s">
        <v>1955</v>
      </c>
      <c r="Q140" s="5"/>
      <c r="R140" s="2"/>
    </row>
    <row r="141" spans="2:20" ht="66" x14ac:dyDescent="0.25">
      <c r="B141" s="632"/>
      <c r="C141" s="632"/>
      <c r="D141" s="632"/>
      <c r="E141" s="632"/>
      <c r="F141" s="632"/>
      <c r="G141" s="632"/>
      <c r="H141" s="632"/>
      <c r="I141" s="632"/>
      <c r="J141" s="632"/>
      <c r="P141" s="115" t="s">
        <v>1956</v>
      </c>
      <c r="Q141" s="132" t="s">
        <v>1957</v>
      </c>
      <c r="R141" s="133"/>
      <c r="S141" s="755"/>
      <c r="T141" s="755"/>
    </row>
    <row r="142" spans="2:20" ht="66" x14ac:dyDescent="0.25">
      <c r="B142" s="632"/>
      <c r="C142" s="632"/>
      <c r="D142" s="632"/>
      <c r="E142" s="632"/>
      <c r="F142" s="632"/>
      <c r="G142" s="632"/>
      <c r="H142" s="632"/>
      <c r="I142" s="632"/>
      <c r="J142" s="632"/>
      <c r="P142" s="115" t="s">
        <v>1958</v>
      </c>
      <c r="Q142" s="132" t="s">
        <v>1959</v>
      </c>
      <c r="R142" s="2"/>
    </row>
    <row r="143" spans="2:20" ht="26.4" x14ac:dyDescent="0.25">
      <c r="P143" s="115" t="s">
        <v>1960</v>
      </c>
      <c r="Q143" s="132" t="s">
        <v>1961</v>
      </c>
      <c r="R143" s="2"/>
    </row>
  </sheetData>
  <mergeCells count="78">
    <mergeCell ref="J46:L46"/>
    <mergeCell ref="C39:H39"/>
    <mergeCell ref="C40:H40"/>
    <mergeCell ref="C41:H41"/>
    <mergeCell ref="J39:L39"/>
    <mergeCell ref="J40:L40"/>
    <mergeCell ref="J26:L26"/>
    <mergeCell ref="J27:L27"/>
    <mergeCell ref="J28:L28"/>
    <mergeCell ref="J30:L30"/>
    <mergeCell ref="J31:L31"/>
    <mergeCell ref="J29:L29"/>
    <mergeCell ref="C26:H26"/>
    <mergeCell ref="C27:H27"/>
    <mergeCell ref="C28:H28"/>
    <mergeCell ref="C29:F29"/>
    <mergeCell ref="C30:F30"/>
    <mergeCell ref="G29:H29"/>
    <mergeCell ref="G30:H30"/>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62:F62"/>
    <mergeCell ref="C63:F63"/>
    <mergeCell ref="C67:F67"/>
    <mergeCell ref="C59:F59"/>
    <mergeCell ref="C60:F60"/>
    <mergeCell ref="C61:F61"/>
    <mergeCell ref="I2:K2"/>
    <mergeCell ref="C18:F18"/>
    <mergeCell ref="C19:F19"/>
    <mergeCell ref="C20:F20"/>
    <mergeCell ref="B23:J23"/>
    <mergeCell ref="B3:H3"/>
    <mergeCell ref="B12:F12"/>
    <mergeCell ref="B7:J8"/>
    <mergeCell ref="B11:D11"/>
    <mergeCell ref="B6:D6"/>
    <mergeCell ref="M13:N13"/>
    <mergeCell ref="C14:F14"/>
    <mergeCell ref="C15:F15"/>
    <mergeCell ref="C16:F16"/>
    <mergeCell ref="C17:F17"/>
    <mergeCell ref="C13:F13"/>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G31:H31"/>
    <mergeCell ref="G32:H32"/>
    <mergeCell ref="C31:F31"/>
    <mergeCell ref="C32:F32"/>
    <mergeCell ref="J32:L32"/>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77734375" defaultRowHeight="14.4" x14ac:dyDescent="0.3"/>
  <sheetData>
    <row r="1" spans="1:1" x14ac:dyDescent="0.3">
      <c r="A1" t="s">
        <v>2357</v>
      </c>
    </row>
    <row r="2" spans="1:1" x14ac:dyDescent="0.3"/>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4140625" defaultRowHeight="13.8" outlineLevelRow="1" outlineLevelCol="1" x14ac:dyDescent="0.25"/>
  <cols>
    <col min="1" max="1" width="3.44140625" style="395" customWidth="1"/>
    <col min="2" max="2" width="11.77734375" style="395" hidden="1" customWidth="1"/>
    <col min="3" max="3" width="47.44140625" style="395" customWidth="1"/>
    <col min="4" max="4" width="46.21875" style="395" bestFit="1" customWidth="1"/>
    <col min="5" max="5" width="31.44140625" style="632" bestFit="1" customWidth="1"/>
    <col min="6" max="6" width="29" style="633" customWidth="1"/>
    <col min="7" max="7" width="28.44140625" style="634" customWidth="1"/>
    <col min="8" max="10" width="28.44140625" style="634" hidden="1" customWidth="1"/>
    <col min="11" max="11" width="36" style="395" bestFit="1" customWidth="1"/>
    <col min="12" max="12" width="25.44140625" style="395" customWidth="1"/>
    <col min="13" max="13" width="21.44140625" style="635" customWidth="1" outlineLevel="1"/>
    <col min="14" max="14" width="22" style="506" customWidth="1" outlineLevel="1"/>
    <col min="15" max="15" width="21.77734375" style="506" customWidth="1" outlineLevel="1"/>
    <col min="16" max="18" width="19.44140625" style="506" customWidth="1" outlineLevel="1"/>
    <col min="19" max="19" width="19" style="395" bestFit="1" customWidth="1"/>
    <col min="20" max="20" width="19.44140625" style="395" customWidth="1"/>
    <col min="21" max="21" width="22.44140625" style="395" customWidth="1"/>
    <col min="22" max="22" width="18" style="395" customWidth="1"/>
    <col min="23" max="23" width="12.21875" style="395" customWidth="1"/>
    <col min="24" max="24" width="8.44140625" style="395"/>
    <col min="25" max="25" width="25.77734375" style="395" customWidth="1"/>
    <col min="26" max="16384" width="8.44140625" style="395"/>
  </cols>
  <sheetData>
    <row r="1" spans="1:25" s="469" customFormat="1" ht="22.05" customHeight="1" x14ac:dyDescent="0.25">
      <c r="C1" s="473" t="s">
        <v>46</v>
      </c>
      <c r="D1" s="697"/>
      <c r="E1" s="698"/>
      <c r="F1" s="699"/>
      <c r="G1" s="700"/>
      <c r="H1" s="700"/>
      <c r="I1" s="700"/>
      <c r="J1" s="700"/>
      <c r="L1" s="701" t="s">
        <v>1678</v>
      </c>
      <c r="M1" s="702"/>
      <c r="N1" s="619"/>
      <c r="O1" s="703"/>
      <c r="P1" s="703"/>
      <c r="Q1" s="703"/>
      <c r="R1" s="703"/>
      <c r="W1" s="2033"/>
      <c r="X1" s="2033"/>
      <c r="Y1" s="2033"/>
    </row>
    <row r="2" spans="1:25" s="469" customFormat="1" ht="20.25" customHeight="1" x14ac:dyDescent="0.25">
      <c r="C2" s="818" t="s">
        <v>2306</v>
      </c>
      <c r="D2" s="698"/>
      <c r="E2" s="698"/>
      <c r="F2" s="699"/>
      <c r="G2" s="700"/>
      <c r="H2" s="700"/>
      <c r="I2" s="700"/>
      <c r="J2" s="700"/>
      <c r="L2" s="1713"/>
      <c r="M2" s="1713"/>
      <c r="N2" s="1713"/>
      <c r="O2" s="703"/>
      <c r="P2" s="703"/>
      <c r="Q2" s="703"/>
      <c r="R2" s="703"/>
      <c r="W2" s="1070"/>
      <c r="X2" s="1071"/>
      <c r="Y2" s="1071"/>
    </row>
    <row r="3" spans="1:25" s="469" customFormat="1" ht="11.55" customHeight="1" x14ac:dyDescent="0.25">
      <c r="C3" s="698"/>
      <c r="D3" s="698"/>
      <c r="E3" s="698"/>
      <c r="F3" s="699"/>
      <c r="G3" s="700"/>
      <c r="H3" s="700"/>
      <c r="I3" s="700"/>
      <c r="J3" s="700"/>
      <c r="L3" s="794"/>
      <c r="M3" s="794"/>
      <c r="N3" s="794"/>
      <c r="O3" s="703"/>
      <c r="P3" s="703"/>
      <c r="Q3" s="703"/>
      <c r="R3" s="703"/>
      <c r="W3" s="1070"/>
      <c r="X3" s="1071"/>
      <c r="Y3" s="1071"/>
    </row>
    <row r="4" spans="1:25" s="806" customFormat="1" ht="20.25" customHeight="1" x14ac:dyDescent="0.25">
      <c r="A4" s="526"/>
      <c r="C4" s="740" t="s">
        <v>2</v>
      </c>
      <c r="D4" s="807"/>
      <c r="E4" s="807"/>
      <c r="F4" s="808"/>
      <c r="G4" s="809"/>
      <c r="H4" s="809"/>
      <c r="I4" s="809"/>
      <c r="J4" s="809"/>
      <c r="L4" s="810"/>
      <c r="M4" s="810"/>
      <c r="N4" s="810"/>
      <c r="O4" s="811"/>
      <c r="P4" s="811"/>
      <c r="Q4" s="811"/>
      <c r="R4" s="811"/>
      <c r="W4" s="1078"/>
      <c r="X4" s="1079"/>
      <c r="Y4" s="1079"/>
    </row>
    <row r="5" spans="1:25" s="526" customFormat="1" ht="32.549999999999997" customHeight="1" x14ac:dyDescent="0.25">
      <c r="C5" s="2034" t="s">
        <v>3262</v>
      </c>
      <c r="D5" s="2034"/>
      <c r="E5" s="2034"/>
      <c r="F5" s="2034"/>
      <c r="G5" s="1470"/>
      <c r="H5" s="1470"/>
      <c r="I5" s="1470"/>
      <c r="J5" s="1470"/>
      <c r="L5" s="805"/>
      <c r="M5" s="805"/>
      <c r="N5" s="805"/>
      <c r="O5" s="1471"/>
      <c r="P5" s="1471"/>
      <c r="Q5" s="1471"/>
      <c r="R5" s="1471"/>
      <c r="W5" s="1072"/>
      <c r="X5" s="1073"/>
      <c r="Y5" s="1073"/>
    </row>
    <row r="6" spans="1:25" s="812" customFormat="1" ht="19.95" customHeight="1" x14ac:dyDescent="0.3">
      <c r="C6" s="2031" t="s">
        <v>3263</v>
      </c>
      <c r="D6" s="2031"/>
      <c r="E6" s="2031"/>
      <c r="F6" s="2031"/>
      <c r="G6" s="815"/>
      <c r="H6" s="815"/>
      <c r="I6" s="815"/>
      <c r="J6" s="815"/>
      <c r="L6" s="805"/>
      <c r="M6" s="805"/>
      <c r="N6" s="805"/>
      <c r="O6" s="816"/>
      <c r="P6" s="816"/>
      <c r="Q6" s="816"/>
      <c r="R6" s="816"/>
      <c r="W6" s="1072"/>
      <c r="X6" s="1073"/>
      <c r="Y6" s="1073"/>
    </row>
    <row r="7" spans="1:25" s="812" customFormat="1" ht="19.95" customHeight="1" x14ac:dyDescent="0.3">
      <c r="C7" s="2032" t="s">
        <v>2274</v>
      </c>
      <c r="D7" s="2032"/>
      <c r="E7" s="2032"/>
      <c r="F7" s="2032"/>
      <c r="G7" s="815"/>
      <c r="H7" s="815"/>
      <c r="I7" s="815"/>
      <c r="J7" s="815"/>
      <c r="L7" s="805"/>
      <c r="M7" s="805"/>
      <c r="N7" s="805"/>
      <c r="O7" s="816"/>
      <c r="P7" s="816"/>
      <c r="Q7" s="816"/>
      <c r="R7" s="816"/>
      <c r="W7" s="1072"/>
      <c r="X7" s="1073"/>
      <c r="Y7" s="1073"/>
    </row>
    <row r="8" spans="1:25" s="812" customFormat="1" ht="29.55" customHeight="1" x14ac:dyDescent="0.3">
      <c r="C8" s="2032" t="s">
        <v>2275</v>
      </c>
      <c r="D8" s="2032"/>
      <c r="E8" s="2032"/>
      <c r="F8" s="2032"/>
      <c r="G8" s="815"/>
      <c r="H8" s="815"/>
      <c r="I8" s="815"/>
      <c r="J8" s="815"/>
      <c r="L8" s="805"/>
      <c r="M8" s="805"/>
      <c r="N8" s="805"/>
      <c r="O8" s="816"/>
      <c r="P8" s="816"/>
      <c r="Q8" s="816"/>
      <c r="R8" s="816"/>
      <c r="W8" s="1072"/>
      <c r="X8" s="1073"/>
      <c r="Y8" s="1073"/>
    </row>
    <row r="9" spans="1:25" s="812" customFormat="1" ht="29.55" customHeight="1" x14ac:dyDescent="0.3">
      <c r="C9" s="2032" t="s">
        <v>3264</v>
      </c>
      <c r="D9" s="2032"/>
      <c r="E9" s="2032"/>
      <c r="F9" s="2032"/>
      <c r="G9" s="815"/>
      <c r="H9" s="815"/>
      <c r="I9" s="815"/>
      <c r="J9" s="815"/>
      <c r="L9" s="805"/>
      <c r="M9" s="805"/>
      <c r="N9" s="805"/>
      <c r="O9" s="816"/>
      <c r="P9" s="816"/>
      <c r="Q9" s="816"/>
      <c r="R9" s="816"/>
      <c r="W9" s="1072"/>
      <c r="X9" s="1073"/>
      <c r="Y9" s="1073"/>
    </row>
    <row r="10" spans="1:25" s="812" customFormat="1" ht="20.399999999999999" x14ac:dyDescent="0.3">
      <c r="C10" s="817"/>
      <c r="D10" s="813"/>
      <c r="E10" s="813"/>
      <c r="F10" s="814"/>
      <c r="G10" s="815"/>
      <c r="H10" s="815"/>
      <c r="I10" s="815"/>
      <c r="J10" s="815"/>
      <c r="L10" s="805"/>
      <c r="M10" s="805"/>
      <c r="N10" s="805"/>
      <c r="O10" s="816"/>
      <c r="P10" s="816"/>
      <c r="Q10" s="816"/>
      <c r="R10" s="816"/>
      <c r="W10" s="1072"/>
      <c r="X10" s="1073"/>
      <c r="Y10" s="1073"/>
    </row>
    <row r="11" spans="1:25" ht="23.25" customHeight="1" x14ac:dyDescent="0.25">
      <c r="C11" s="760" t="s">
        <v>2312</v>
      </c>
      <c r="D11" s="661"/>
      <c r="E11" s="661"/>
      <c r="F11" s="637"/>
      <c r="G11" s="638"/>
      <c r="H11" s="638"/>
      <c r="I11" s="638"/>
      <c r="J11" s="638"/>
      <c r="K11" s="475"/>
      <c r="L11" s="662"/>
      <c r="M11" s="2014"/>
      <c r="N11" s="2014"/>
      <c r="O11" s="663"/>
      <c r="P11" s="663"/>
      <c r="Q11" s="663"/>
      <c r="R11" s="663"/>
      <c r="S11" s="475"/>
      <c r="T11" s="475"/>
      <c r="U11" s="475"/>
      <c r="W11" s="1074"/>
      <c r="X11" s="1075"/>
      <c r="Y11" s="1075"/>
    </row>
    <row r="12" spans="1:25" ht="20.55" customHeight="1" x14ac:dyDescent="0.25">
      <c r="C12" s="1472" t="s">
        <v>3265</v>
      </c>
      <c r="D12" s="659"/>
      <c r="E12" s="659"/>
      <c r="G12" s="395"/>
      <c r="H12" s="395"/>
      <c r="I12" s="395"/>
      <c r="J12" s="395"/>
      <c r="L12" s="664"/>
      <c r="M12" s="2030"/>
      <c r="N12" s="2030"/>
      <c r="O12" s="660"/>
      <c r="P12" s="660"/>
      <c r="Q12" s="660"/>
      <c r="R12" s="660"/>
      <c r="W12" s="1074"/>
      <c r="X12" s="1075"/>
      <c r="Y12" s="1075"/>
    </row>
    <row r="13" spans="1:25" ht="17.399999999999999" x14ac:dyDescent="0.25">
      <c r="C13" s="2027" t="s">
        <v>2199</v>
      </c>
      <c r="D13" s="2028"/>
      <c r="E13" s="395"/>
      <c r="F13" s="2019"/>
      <c r="G13" s="2019"/>
      <c r="H13" s="665"/>
      <c r="I13" s="665"/>
      <c r="J13" s="665"/>
      <c r="K13" s="484"/>
      <c r="L13" s="664"/>
      <c r="M13" s="2030"/>
      <c r="N13" s="2030"/>
      <c r="O13" s="666"/>
      <c r="P13" s="666"/>
      <c r="Q13" s="666"/>
      <c r="R13" s="666"/>
      <c r="S13" s="413"/>
      <c r="T13" s="413"/>
      <c r="W13" s="1076"/>
      <c r="X13" s="1075"/>
      <c r="Y13" s="1075"/>
    </row>
    <row r="14" spans="1:25" ht="21" customHeight="1" x14ac:dyDescent="0.25">
      <c r="C14" s="865" t="s">
        <v>15</v>
      </c>
      <c r="D14" s="1020" t="str">
        <f>'1. Project Inputs'!C17</f>
        <v>Dallas</v>
      </c>
      <c r="F14" s="667"/>
      <c r="G14" s="667"/>
      <c r="H14" s="667"/>
      <c r="I14" s="667"/>
      <c r="J14" s="667"/>
      <c r="K14" s="668"/>
      <c r="L14" s="669"/>
      <c r="M14" s="2030"/>
      <c r="N14" s="2030"/>
      <c r="O14" s="666"/>
      <c r="P14" s="666"/>
      <c r="Q14" s="666"/>
      <c r="R14" s="666"/>
      <c r="S14" s="413"/>
      <c r="T14" s="413"/>
      <c r="U14" s="667"/>
      <c r="V14" s="667"/>
      <c r="W14" s="1077"/>
      <c r="X14" s="2029"/>
      <c r="Y14" s="2029"/>
    </row>
    <row r="15" spans="1:25" ht="18" customHeight="1" x14ac:dyDescent="0.25">
      <c r="C15" s="867" t="s">
        <v>17</v>
      </c>
      <c r="D15" s="991" t="str">
        <f>'1. Project Inputs'!C18</f>
        <v>C Spire</v>
      </c>
      <c r="F15" s="1999"/>
      <c r="G15" s="411"/>
      <c r="H15" s="411"/>
      <c r="I15" s="411"/>
      <c r="J15" s="411"/>
      <c r="K15" s="671"/>
      <c r="L15" s="672"/>
      <c r="M15" s="2030"/>
      <c r="N15" s="2030"/>
      <c r="O15" s="673"/>
      <c r="P15" s="673"/>
      <c r="Q15" s="673"/>
      <c r="R15" s="673"/>
      <c r="S15" s="413"/>
      <c r="T15" s="413"/>
      <c r="U15" s="2018"/>
      <c r="V15" s="411"/>
      <c r="W15" s="399"/>
    </row>
    <row r="16" spans="1:25" ht="18" customHeight="1" x14ac:dyDescent="0.25">
      <c r="C16" s="867" t="s">
        <v>47</v>
      </c>
      <c r="D16" s="1021" t="str">
        <f>'1. Project Inputs'!C19</f>
        <v>TA Digital</v>
      </c>
      <c r="F16" s="1999"/>
      <c r="G16" s="411"/>
      <c r="H16" s="411"/>
      <c r="I16" s="411"/>
      <c r="J16" s="411"/>
      <c r="K16" s="671"/>
      <c r="L16" s="671"/>
      <c r="M16" s="641"/>
      <c r="N16" s="647"/>
      <c r="O16" s="673"/>
      <c r="P16" s="673"/>
      <c r="Q16" s="673"/>
      <c r="R16" s="673"/>
      <c r="S16" s="413"/>
      <c r="T16" s="413"/>
      <c r="U16" s="2018"/>
      <c r="V16" s="411"/>
      <c r="W16" s="399"/>
    </row>
    <row r="17" spans="3:23" ht="17.25" customHeight="1" x14ac:dyDescent="0.25">
      <c r="C17" s="867" t="s">
        <v>48</v>
      </c>
      <c r="D17" s="991" t="str">
        <f>'1. Project Inputs'!C20</f>
        <v>No</v>
      </c>
      <c r="F17" s="1999"/>
      <c r="G17" s="411"/>
      <c r="H17" s="411"/>
      <c r="I17" s="411"/>
      <c r="J17" s="411"/>
      <c r="K17" s="671"/>
      <c r="L17" s="671"/>
      <c r="M17" s="641"/>
      <c r="N17" s="647"/>
      <c r="O17" s="673"/>
      <c r="P17" s="673"/>
      <c r="Q17" s="673"/>
      <c r="R17" s="673"/>
      <c r="S17" s="413"/>
      <c r="T17" s="413"/>
      <c r="U17" s="2018"/>
      <c r="V17" s="411"/>
      <c r="W17" s="399"/>
    </row>
    <row r="18" spans="3:23" ht="16.05" customHeight="1" x14ac:dyDescent="0.25">
      <c r="C18" s="962" t="s">
        <v>2064</v>
      </c>
      <c r="D18" s="991">
        <f>'1. Project Inputs'!C22</f>
        <v>1324</v>
      </c>
      <c r="E18" s="519"/>
      <c r="F18" s="1999"/>
      <c r="G18" s="411"/>
      <c r="H18" s="411"/>
      <c r="I18" s="411"/>
      <c r="J18" s="411"/>
      <c r="K18" s="671"/>
      <c r="L18" s="671"/>
      <c r="M18" s="641"/>
      <c r="N18" s="647"/>
      <c r="O18" s="673"/>
      <c r="P18" s="673"/>
      <c r="Q18" s="673"/>
      <c r="R18" s="673"/>
      <c r="S18" s="413"/>
      <c r="T18" s="413"/>
      <c r="U18" s="2018"/>
      <c r="V18" s="411"/>
      <c r="W18" s="399"/>
    </row>
    <row r="19" spans="3:23" ht="16.05" customHeight="1" x14ac:dyDescent="0.25">
      <c r="C19" s="962" t="s">
        <v>22</v>
      </c>
      <c r="D19" s="991" t="str">
        <f>'1. Project Inputs'!C23</f>
        <v>Green Dot Marketing 2025</v>
      </c>
      <c r="E19" s="519"/>
      <c r="F19" s="1999"/>
      <c r="G19" s="411"/>
      <c r="H19" s="411"/>
      <c r="I19" s="411"/>
      <c r="J19" s="411"/>
      <c r="K19" s="671"/>
      <c r="L19" s="671"/>
      <c r="M19" s="641"/>
      <c r="N19" s="647"/>
      <c r="O19" s="673"/>
      <c r="P19" s="673"/>
      <c r="Q19" s="673"/>
      <c r="R19" s="673"/>
      <c r="S19" s="413"/>
      <c r="T19" s="413"/>
      <c r="U19" s="2018"/>
      <c r="V19" s="411"/>
      <c r="W19" s="399"/>
    </row>
    <row r="20" spans="3:23" ht="16.05" customHeight="1" x14ac:dyDescent="0.25">
      <c r="C20" s="962" t="s">
        <v>23</v>
      </c>
      <c r="D20" s="1021" t="str">
        <f>'1. Project Inputs'!C24</f>
        <v>Digital - Systems Implementation</v>
      </c>
      <c r="E20" s="519"/>
      <c r="F20" s="1999"/>
      <c r="G20" s="411"/>
      <c r="H20" s="411"/>
      <c r="I20" s="411"/>
      <c r="J20" s="411"/>
      <c r="K20" s="671"/>
      <c r="L20" s="671"/>
      <c r="M20" s="641"/>
      <c r="N20" s="675"/>
      <c r="O20" s="676"/>
      <c r="P20" s="676"/>
      <c r="Q20" s="676"/>
      <c r="R20" s="676"/>
      <c r="S20" s="413"/>
      <c r="T20" s="413"/>
      <c r="U20" s="2018"/>
      <c r="V20" s="411"/>
      <c r="W20" s="399"/>
    </row>
    <row r="21" spans="3:23" ht="16.05" customHeight="1" x14ac:dyDescent="0.25">
      <c r="C21" s="962" t="s">
        <v>49</v>
      </c>
      <c r="D21" s="1021" t="str">
        <f>'1. Project Inputs'!C25</f>
        <v>Standard Rates</v>
      </c>
      <c r="E21" s="519"/>
      <c r="F21" s="1999"/>
      <c r="G21" s="411"/>
      <c r="H21" s="411"/>
      <c r="I21" s="411"/>
      <c r="J21" s="411"/>
      <c r="K21" s="671"/>
      <c r="L21" s="671"/>
      <c r="M21" s="641"/>
      <c r="N21" s="677"/>
      <c r="O21" s="678"/>
      <c r="P21" s="678"/>
      <c r="Q21" s="678"/>
      <c r="R21" s="678"/>
      <c r="S21" s="413"/>
      <c r="T21" s="413"/>
      <c r="U21" s="2018"/>
      <c r="V21" s="411"/>
      <c r="W21" s="399"/>
    </row>
    <row r="22" spans="3:23" ht="31.05" customHeight="1" x14ac:dyDescent="0.25">
      <c r="C22" s="1022" t="s">
        <v>25</v>
      </c>
      <c r="D22" s="1021" t="str">
        <f>IF(ISBLANK('1. Project Inputs'!C26)," ",'1. Project Inputs'!C26)</f>
        <v xml:space="preserve"> </v>
      </c>
      <c r="F22" s="1999"/>
      <c r="G22" s="411"/>
      <c r="H22" s="411"/>
      <c r="I22" s="411"/>
      <c r="J22" s="411"/>
      <c r="K22" s="671"/>
      <c r="L22" s="671"/>
      <c r="M22" s="641"/>
      <c r="N22" s="677"/>
      <c r="O22" s="679"/>
      <c r="P22" s="679"/>
      <c r="Q22" s="679"/>
      <c r="R22" s="679"/>
      <c r="S22" s="413"/>
      <c r="T22" s="413"/>
      <c r="U22" s="2018"/>
      <c r="V22" s="411"/>
      <c r="W22" s="399"/>
    </row>
    <row r="23" spans="3:23" ht="16.05" customHeight="1" x14ac:dyDescent="0.25">
      <c r="C23" s="867" t="s">
        <v>26</v>
      </c>
      <c r="D23" s="1023">
        <f>'1. Project Inputs'!C27</f>
        <v>45916</v>
      </c>
      <c r="F23" s="1999"/>
      <c r="G23" s="411"/>
      <c r="H23" s="411"/>
      <c r="I23" s="411"/>
      <c r="J23" s="411"/>
      <c r="K23" s="671"/>
      <c r="L23" s="671"/>
      <c r="M23" s="641"/>
      <c r="N23" s="680"/>
      <c r="O23" s="673"/>
      <c r="P23" s="673"/>
      <c r="Q23" s="673"/>
      <c r="R23" s="673"/>
      <c r="S23" s="413"/>
      <c r="T23" s="413"/>
      <c r="U23" s="2018"/>
      <c r="V23" s="411"/>
      <c r="W23" s="399"/>
    </row>
    <row r="24" spans="3:23" ht="17.25" customHeight="1" x14ac:dyDescent="0.25">
      <c r="C24" s="867" t="s">
        <v>50</v>
      </c>
      <c r="D24" s="1024">
        <f>'1. Project Inputs'!C29</f>
        <v>30</v>
      </c>
      <c r="E24" s="681"/>
      <c r="F24" s="1999"/>
      <c r="G24" s="411"/>
      <c r="H24" s="411"/>
      <c r="I24" s="411"/>
      <c r="J24" s="411"/>
      <c r="K24" s="671"/>
      <c r="L24" s="671"/>
      <c r="M24" s="641"/>
      <c r="N24" s="505"/>
      <c r="O24" s="505"/>
      <c r="P24" s="505"/>
      <c r="Q24" s="505"/>
      <c r="R24" s="505"/>
      <c r="S24" s="413"/>
      <c r="T24" s="413"/>
      <c r="U24" s="2018"/>
      <c r="V24" s="411"/>
      <c r="W24" s="399"/>
    </row>
    <row r="25" spans="3:23" ht="15" x14ac:dyDescent="0.25">
      <c r="C25" s="867" t="s">
        <v>27</v>
      </c>
      <c r="D25" s="1024" t="str">
        <f>'1. Project Inputs'!C28</f>
        <v>T&amp;M</v>
      </c>
      <c r="E25" s="681"/>
      <c r="F25" s="1999"/>
      <c r="G25" s="411"/>
      <c r="H25" s="411"/>
      <c r="I25" s="411"/>
      <c r="J25" s="411"/>
      <c r="K25" s="671"/>
      <c r="L25" s="671"/>
      <c r="M25" s="641"/>
      <c r="N25" s="505"/>
      <c r="O25" s="505"/>
      <c r="P25" s="505"/>
      <c r="Q25" s="505"/>
      <c r="R25" s="505"/>
      <c r="S25" s="413"/>
      <c r="T25" s="413"/>
      <c r="U25" s="2018"/>
      <c r="V25" s="411"/>
      <c r="W25" s="399"/>
    </row>
    <row r="26" spans="3:23" ht="19.05" customHeight="1" x14ac:dyDescent="0.25">
      <c r="C26" s="962" t="s">
        <v>16</v>
      </c>
      <c r="D26" s="1473" t="str">
        <f>IF(ISBLANK('1. Project Inputs'!G17),"",'1. Project Inputs'!G17)</f>
        <v/>
      </c>
      <c r="E26" s="681"/>
      <c r="F26" s="1999"/>
      <c r="G26" s="411"/>
      <c r="H26" s="411"/>
      <c r="I26" s="411"/>
      <c r="J26" s="411"/>
      <c r="K26" s="671"/>
      <c r="L26" s="671"/>
      <c r="M26" s="641"/>
      <c r="N26" s="505"/>
      <c r="O26" s="505"/>
      <c r="P26" s="505"/>
      <c r="Q26" s="505"/>
      <c r="R26" s="505"/>
      <c r="S26" s="413"/>
      <c r="T26" s="413"/>
      <c r="U26" s="2018"/>
      <c r="V26" s="411"/>
      <c r="W26" s="399"/>
    </row>
    <row r="27" spans="3:23" ht="18" customHeight="1" x14ac:dyDescent="0.25">
      <c r="C27" s="962" t="s">
        <v>18</v>
      </c>
      <c r="D27" s="1473" t="str">
        <f>IF(ISBLANK('1. Project Inputs'!G18),"",'1. Project Inputs'!G18)</f>
        <v/>
      </c>
      <c r="E27" s="681"/>
      <c r="F27" s="1999"/>
      <c r="G27" s="411"/>
      <c r="H27" s="430"/>
      <c r="I27" s="430"/>
      <c r="J27" s="430"/>
      <c r="K27" s="671"/>
      <c r="L27" s="671"/>
      <c r="M27" s="641"/>
      <c r="N27" s="505"/>
      <c r="O27" s="505"/>
      <c r="P27" s="505"/>
      <c r="Q27" s="505"/>
      <c r="R27" s="505"/>
      <c r="S27" s="413"/>
      <c r="T27" s="413"/>
      <c r="U27" s="674"/>
      <c r="V27" s="411"/>
      <c r="W27" s="399"/>
    </row>
    <row r="28" spans="3:23" ht="18" customHeight="1" x14ac:dyDescent="0.25">
      <c r="C28" s="1025" t="s">
        <v>21</v>
      </c>
      <c r="D28" s="1474" t="str">
        <f>IF(ISBLANK('1. Project Inputs'!G19),"",'1. Project Inputs'!G19)</f>
        <v/>
      </c>
      <c r="E28" s="681"/>
      <c r="F28" s="1999"/>
      <c r="G28" s="411"/>
      <c r="H28" s="430"/>
      <c r="I28" s="430"/>
      <c r="J28" s="430"/>
      <c r="K28" s="682"/>
      <c r="L28" s="682"/>
      <c r="U28" s="674"/>
      <c r="V28" s="411"/>
      <c r="W28" s="399"/>
    </row>
    <row r="29" spans="3:23" ht="7.05" customHeight="1" x14ac:dyDescent="0.25">
      <c r="C29" s="683"/>
      <c r="D29" s="684"/>
      <c r="E29" s="681"/>
      <c r="F29" s="1999"/>
      <c r="G29" s="411"/>
      <c r="H29" s="430"/>
      <c r="I29" s="430"/>
      <c r="J29" s="430"/>
      <c r="K29" s="682"/>
      <c r="L29" s="682"/>
      <c r="U29" s="674"/>
      <c r="V29" s="411"/>
      <c r="W29" s="399"/>
    </row>
    <row r="30" spans="3:23" ht="15" x14ac:dyDescent="0.25">
      <c r="C30" s="1026" t="s">
        <v>2202</v>
      </c>
      <c r="E30" s="681"/>
      <c r="F30" s="1999"/>
      <c r="G30" s="411"/>
      <c r="H30" s="430"/>
      <c r="I30" s="430"/>
      <c r="J30" s="430"/>
      <c r="K30" s="682"/>
      <c r="L30" s="682"/>
      <c r="U30" s="674"/>
      <c r="V30" s="411"/>
      <c r="W30" s="399"/>
    </row>
    <row r="31" spans="3:23" ht="18" customHeight="1" x14ac:dyDescent="0.25">
      <c r="C31" s="1027" t="str">
        <f>IF($D$20="Select",'1. Project Inputs'!B38,IF($D$20="Consulting",'1. Project Inputs'!B38,IF($D$20="Digital - MarTech Consulting/Strategy",'1. Project Inputs'!B38,'Rates &amp; Drop Downs INT'!AE7)))</f>
        <v>UX</v>
      </c>
      <c r="E31" s="681"/>
      <c r="F31" s="1999"/>
      <c r="G31" s="411"/>
      <c r="H31" s="430"/>
      <c r="I31" s="430"/>
      <c r="J31" s="430"/>
      <c r="K31" s="682"/>
      <c r="L31" s="682"/>
      <c r="U31" s="674"/>
      <c r="V31" s="411"/>
      <c r="W31" s="399"/>
    </row>
    <row r="32" spans="3:23" ht="18" customHeight="1" x14ac:dyDescent="0.25">
      <c r="C32" s="1028" t="str">
        <f>IF($D$20="Select",'1. Project Inputs'!B39,IF($D$20="Consulting",'1. Project Inputs'!B39,IF($D$20="Digital - MarTech Consulting/Strategy",'1. Project Inputs'!B39,'Rates &amp; Drop Downs INT'!AE8)))</f>
        <v>UI</v>
      </c>
      <c r="E32" s="681"/>
      <c r="F32" s="1999"/>
      <c r="G32" s="411"/>
      <c r="H32" s="430"/>
      <c r="I32" s="430"/>
      <c r="J32" s="430"/>
      <c r="K32" s="682"/>
      <c r="L32" s="682"/>
      <c r="U32" s="674"/>
      <c r="V32" s="411"/>
      <c r="W32" s="399"/>
    </row>
    <row r="33" spans="3:23" ht="18" customHeight="1" x14ac:dyDescent="0.25">
      <c r="C33" s="1028" t="str">
        <f>IF($D$20="Select",'1. Project Inputs'!B40,IF($D$20="Consulting",'1. Project Inputs'!B40,IF($D$20="Digital - MarTech Consulting/Strategy",'1. Project Inputs'!B40,'Rates &amp; Drop Downs INT'!AE9)))</f>
        <v>CMS + Web Integration</v>
      </c>
      <c r="E33" s="681"/>
      <c r="F33" s="1999"/>
      <c r="G33" s="411"/>
      <c r="H33" s="430"/>
      <c r="I33" s="430"/>
      <c r="J33" s="430"/>
      <c r="K33" s="682"/>
      <c r="L33" s="682"/>
      <c r="U33" s="674"/>
      <c r="V33" s="411"/>
      <c r="W33" s="399"/>
    </row>
    <row r="34" spans="3:23" ht="18" customHeight="1" x14ac:dyDescent="0.25">
      <c r="C34" s="1028" t="str">
        <f>IF($D$20="Select",'1. Project Inputs'!B41,IF($D$20="Consulting",'1. Project Inputs'!B41,IF($D$20="Digital - MarTech Consulting/Strategy",'1. Project Inputs'!B41,'Rates &amp; Drop Downs INT'!AE10)))</f>
        <v>Services/Integrations</v>
      </c>
      <c r="E34" s="681"/>
      <c r="F34" s="1999"/>
      <c r="G34" s="411"/>
      <c r="H34" s="430"/>
      <c r="I34" s="430"/>
      <c r="J34" s="430"/>
      <c r="K34" s="682"/>
      <c r="L34" s="682"/>
      <c r="U34" s="674"/>
      <c r="V34" s="411"/>
      <c r="W34" s="399"/>
    </row>
    <row r="35" spans="3:23" ht="18" customHeight="1" x14ac:dyDescent="0.25">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25">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25">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25">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25">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25">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25">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25">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25">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25">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25">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25">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25">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25">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25">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25">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25">
      <c r="E51" s="681"/>
      <c r="F51" s="670"/>
      <c r="G51" s="430"/>
      <c r="H51" s="430"/>
      <c r="I51" s="430"/>
      <c r="J51" s="430"/>
      <c r="K51" s="682"/>
      <c r="L51" s="682"/>
      <c r="U51" s="674"/>
      <c r="V51" s="411"/>
      <c r="W51" s="399"/>
    </row>
    <row r="52" spans="2:23" ht="22.05" customHeight="1" x14ac:dyDescent="0.25">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25">
      <c r="C53" s="1472" t="s">
        <v>2343</v>
      </c>
      <c r="D53" s="1244"/>
      <c r="E53" s="681"/>
      <c r="F53" s="1245"/>
      <c r="G53" s="1246"/>
      <c r="H53" s="1246"/>
      <c r="I53" s="1246"/>
      <c r="J53" s="1246"/>
      <c r="O53" s="1247"/>
      <c r="P53" s="1247"/>
      <c r="Q53" s="1247"/>
      <c r="R53" s="1247"/>
    </row>
    <row r="54" spans="2:23" ht="15" x14ac:dyDescent="0.25">
      <c r="C54" s="1472" t="s">
        <v>2344</v>
      </c>
      <c r="D54" s="1244"/>
      <c r="E54" s="681"/>
      <c r="F54" s="1245"/>
      <c r="G54" s="1246"/>
      <c r="H54" s="1246"/>
      <c r="I54" s="1246"/>
      <c r="J54" s="1246"/>
      <c r="O54" s="1247"/>
      <c r="P54" s="1247"/>
      <c r="Q54" s="1247"/>
      <c r="R54" s="1247"/>
    </row>
    <row r="55" spans="2:23" ht="15" x14ac:dyDescent="0.25">
      <c r="C55" s="395" t="s">
        <v>2348</v>
      </c>
      <c r="D55" s="1244"/>
      <c r="E55" s="681"/>
      <c r="F55" s="1245"/>
      <c r="G55" s="1246"/>
      <c r="H55" s="1246"/>
      <c r="I55" s="1246"/>
      <c r="J55" s="1246"/>
      <c r="O55" s="1247"/>
      <c r="P55" s="1247"/>
      <c r="Q55" s="1247"/>
      <c r="R55" s="1247"/>
    </row>
    <row r="56" spans="2:23" ht="22.05" customHeight="1" x14ac:dyDescent="0.25">
      <c r="C56" s="1243"/>
      <c r="D56" s="1244"/>
      <c r="E56" s="681"/>
      <c r="F56" s="1245"/>
      <c r="G56" s="1246"/>
      <c r="H56" s="1246"/>
      <c r="I56" s="1246"/>
      <c r="J56" s="1246"/>
      <c r="O56" s="1247"/>
      <c r="P56" s="1247"/>
      <c r="Q56" s="1247"/>
      <c r="R56" s="1247"/>
    </row>
    <row r="57" spans="2:23" ht="22.05" customHeight="1" x14ac:dyDescent="0.25">
      <c r="D57" s="1244"/>
      <c r="E57" s="681"/>
      <c r="F57" s="1245"/>
      <c r="G57" s="1246"/>
      <c r="H57" s="1246"/>
      <c r="I57" s="1246"/>
      <c r="J57" s="1246"/>
      <c r="O57" s="1247"/>
      <c r="P57" s="1247"/>
      <c r="Q57" s="1247"/>
      <c r="R57" s="1247"/>
    </row>
    <row r="58" spans="2:23" s="411" customFormat="1" ht="36" customHeight="1" x14ac:dyDescent="0.3">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25">
      <c r="B59" s="2006" t="s">
        <v>51</v>
      </c>
      <c r="C59" s="2008" t="s">
        <v>52</v>
      </c>
      <c r="D59" s="2010" t="s">
        <v>53</v>
      </c>
      <c r="E59" s="2012" t="s">
        <v>54</v>
      </c>
      <c r="F59" s="2020" t="s">
        <v>55</v>
      </c>
      <c r="G59" s="2010" t="s">
        <v>56</v>
      </c>
      <c r="H59" s="1399"/>
      <c r="I59" s="1399"/>
      <c r="J59" s="1399"/>
      <c r="K59" s="2010" t="s">
        <v>57</v>
      </c>
      <c r="L59" s="2000" t="s">
        <v>58</v>
      </c>
      <c r="M59" s="2003" t="s">
        <v>59</v>
      </c>
      <c r="N59" s="2004"/>
      <c r="O59" s="2004"/>
      <c r="P59" s="2003" t="s">
        <v>60</v>
      </c>
      <c r="Q59" s="2004"/>
      <c r="R59" s="2005"/>
      <c r="S59" s="2022" t="s">
        <v>61</v>
      </c>
      <c r="T59" s="2022" t="s">
        <v>62</v>
      </c>
    </row>
    <row r="60" spans="2:23" ht="21" customHeight="1" x14ac:dyDescent="0.25">
      <c r="B60" s="2007"/>
      <c r="C60" s="2009"/>
      <c r="D60" s="2011"/>
      <c r="E60" s="2013"/>
      <c r="F60" s="2021"/>
      <c r="G60" s="2011"/>
      <c r="H60" s="1400"/>
      <c r="I60" s="1400"/>
      <c r="J60" s="1400"/>
      <c r="K60" s="2011"/>
      <c r="L60" s="2001"/>
      <c r="M60" s="2024" t="str">
        <f>'1. Project Inputs'!C64</f>
        <v>Enter Option 1 Name</v>
      </c>
      <c r="N60" s="2024" t="str">
        <f>'1. Project Inputs'!C65</f>
        <v>Enter Option 2 Name</v>
      </c>
      <c r="O60" s="2024" t="str">
        <f>'1. Project Inputs'!C66</f>
        <v>Enter Option 3 Name</v>
      </c>
      <c r="P60" s="690"/>
      <c r="Q60" s="690"/>
      <c r="R60" s="690"/>
      <c r="S60" s="2023"/>
      <c r="T60" s="2023"/>
    </row>
    <row r="61" spans="2:23" ht="44.55" customHeight="1" thickBot="1" x14ac:dyDescent="0.3">
      <c r="B61" s="109"/>
      <c r="C61" s="691"/>
      <c r="D61" s="692"/>
      <c r="E61" s="693"/>
      <c r="F61" s="694"/>
      <c r="G61" s="692"/>
      <c r="H61" s="692"/>
      <c r="I61" s="692"/>
      <c r="J61" s="692"/>
      <c r="K61" s="692"/>
      <c r="L61" s="2002"/>
      <c r="M61" s="2025"/>
      <c r="N61" s="2025"/>
      <c r="O61" s="2025"/>
      <c r="P61" s="695"/>
      <c r="Q61" s="695"/>
      <c r="R61" s="695"/>
      <c r="S61" s="696"/>
      <c r="T61" s="2026"/>
    </row>
    <row r="62" spans="2:23" ht="14.4" hidden="1" thickBot="1" x14ac:dyDescent="0.3">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4" thickTop="1" x14ac:dyDescent="0.25">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25">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25">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25">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25">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25">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25">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25">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25">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25">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25">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25">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25">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25">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25">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25">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25">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25">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25">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25">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25">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25">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25">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25">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25">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25">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25">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25">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25">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25">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25">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25">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25">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25">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25">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25">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25">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25">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25">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25">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25">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25">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25">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25">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25">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25">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25">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25">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25">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25">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25">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25">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25">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25">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25">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25">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25">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25">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25">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25">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25">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05" customHeight="1" x14ac:dyDescent="0.25">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25">
      <c r="C127" s="579"/>
      <c r="D127" s="632"/>
      <c r="E127" s="633"/>
      <c r="G127" s="640"/>
      <c r="H127" s="640"/>
      <c r="I127" s="640"/>
      <c r="J127" s="640"/>
      <c r="K127" s="413"/>
      <c r="L127" s="413"/>
      <c r="M127" s="641"/>
      <c r="N127" s="505"/>
      <c r="O127" s="505"/>
      <c r="P127" s="505"/>
      <c r="Q127" s="505"/>
      <c r="R127" s="505"/>
      <c r="S127" s="413"/>
      <c r="T127" s="413"/>
    </row>
    <row r="128" spans="2:22" ht="15" x14ac:dyDescent="0.25">
      <c r="C128" s="2015" t="s">
        <v>79</v>
      </c>
      <c r="D128" s="2016"/>
      <c r="E128" s="2017"/>
      <c r="G128" s="413"/>
      <c r="H128" s="413"/>
      <c r="I128" s="413"/>
      <c r="J128" s="413"/>
      <c r="K128" s="413"/>
      <c r="L128" s="413"/>
      <c r="M128" s="413"/>
      <c r="N128" s="642"/>
      <c r="O128" s="505"/>
      <c r="P128" s="505"/>
      <c r="Q128" s="505"/>
      <c r="R128" s="505"/>
      <c r="S128" s="413"/>
      <c r="T128" s="413"/>
    </row>
    <row r="129" spans="3:20" x14ac:dyDescent="0.25">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25">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25">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25">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25">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25">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25">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25">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25">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8" x14ac:dyDescent="0.3">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25">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25">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8" x14ac:dyDescent="0.3">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25">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25">
      <c r="G143" s="640"/>
      <c r="H143" s="640"/>
      <c r="I143" s="640"/>
      <c r="J143" s="640"/>
      <c r="K143" s="413"/>
      <c r="L143" s="413"/>
      <c r="M143" s="641"/>
      <c r="N143" s="505"/>
      <c r="O143" s="505"/>
      <c r="P143" s="505"/>
      <c r="Q143" s="505"/>
      <c r="R143" s="505"/>
      <c r="S143" s="413"/>
      <c r="T143" s="413"/>
    </row>
    <row r="144" spans="3:20" x14ac:dyDescent="0.25">
      <c r="D144" s="632"/>
      <c r="E144" s="633"/>
      <c r="G144" s="640"/>
      <c r="H144" s="640"/>
      <c r="I144" s="640"/>
      <c r="J144" s="640"/>
      <c r="K144" s="413"/>
      <c r="L144" s="413"/>
      <c r="M144" s="641"/>
      <c r="N144" s="505"/>
      <c r="O144" s="505"/>
      <c r="P144" s="505"/>
      <c r="Q144" s="505"/>
      <c r="R144" s="505"/>
      <c r="S144" s="413"/>
      <c r="T144" s="413"/>
    </row>
    <row r="145" spans="3:20" ht="22.05" customHeight="1" x14ac:dyDescent="0.25">
      <c r="C145" s="411" t="s">
        <v>3266</v>
      </c>
      <c r="G145" s="640"/>
      <c r="H145" s="640"/>
      <c r="I145" s="640"/>
      <c r="J145" s="640"/>
      <c r="K145" s="413"/>
      <c r="L145" s="413"/>
      <c r="M145" s="641"/>
      <c r="N145" s="505"/>
      <c r="O145" s="505"/>
      <c r="P145" s="505"/>
      <c r="Q145" s="505"/>
      <c r="R145" s="505"/>
      <c r="S145" s="413"/>
      <c r="T145" s="413"/>
    </row>
    <row r="146" spans="3:20" ht="15" x14ac:dyDescent="0.25">
      <c r="C146" s="2015" t="s">
        <v>83</v>
      </c>
      <c r="D146" s="2016"/>
      <c r="E146" s="2016"/>
      <c r="F146" s="2017"/>
      <c r="G146" s="1306"/>
      <c r="H146" s="1053"/>
      <c r="I146" s="1053"/>
      <c r="J146" s="1053"/>
      <c r="K146" s="1052" t="str">
        <f>IF(G148="Select","","Bucket Totals")</f>
        <v>Bucket Totals</v>
      </c>
      <c r="L146" s="1312"/>
      <c r="M146" s="1305"/>
      <c r="N146" s="1307"/>
      <c r="P146" s="649"/>
      <c r="Q146" s="649"/>
      <c r="R146" s="649"/>
      <c r="S146" s="413"/>
      <c r="T146" s="413"/>
    </row>
    <row r="147" spans="3:20" x14ac:dyDescent="0.25">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25">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25">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25">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25">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25">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25">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25">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25">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25">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25">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25">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25">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25">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25">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25">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C6:F6"/>
    <mergeCell ref="C7:F7"/>
    <mergeCell ref="C8:F8"/>
    <mergeCell ref="C9:F9"/>
    <mergeCell ref="W1:Y1"/>
    <mergeCell ref="C5:F5"/>
    <mergeCell ref="X14:Y14"/>
    <mergeCell ref="M15:N15"/>
    <mergeCell ref="M14:N14"/>
    <mergeCell ref="M13:N13"/>
    <mergeCell ref="M12:N12"/>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F15:F34"/>
    <mergeCell ref="L59:L61"/>
    <mergeCell ref="P59:R59"/>
    <mergeCell ref="B59:B60"/>
    <mergeCell ref="C59:C60"/>
    <mergeCell ref="D59:D60"/>
    <mergeCell ref="E59:E60"/>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77734375" defaultRowHeight="13.8" x14ac:dyDescent="0.25"/>
  <cols>
    <col min="1" max="1" width="3.21875" style="395" customWidth="1"/>
    <col min="2" max="2" width="6" style="107" customWidth="1"/>
    <col min="3" max="3" width="29.21875" style="4" customWidth="1"/>
    <col min="4" max="4" width="24.6640625" style="4" customWidth="1"/>
    <col min="5" max="5" width="17.44140625" style="4" bestFit="1" customWidth="1"/>
    <col min="6" max="6" width="6" style="4" customWidth="1"/>
    <col min="7" max="7" width="3.44140625" style="395" customWidth="1"/>
    <col min="8" max="8" width="6" style="4" customWidth="1"/>
    <col min="9" max="9" width="30.44140625" style="4" bestFit="1" customWidth="1"/>
    <col min="10" max="10" width="24.6640625" style="4" customWidth="1"/>
    <col min="11" max="11" width="17.44140625" style="4" bestFit="1" customWidth="1"/>
    <col min="12" max="12" width="6" style="4" customWidth="1"/>
    <col min="13" max="13" width="3.44140625" style="413" customWidth="1"/>
    <col min="14" max="14" width="6" style="4" customWidth="1"/>
    <col min="15" max="15" width="30.44140625" style="4" bestFit="1" customWidth="1"/>
    <col min="16" max="16" width="20.21875" style="4" customWidth="1"/>
    <col min="17" max="17" width="17.44140625" style="4" bestFit="1" customWidth="1"/>
    <col min="18" max="18" width="6" style="4" customWidth="1"/>
    <col min="19" max="19" width="15.44140625" style="395" bestFit="1" customWidth="1"/>
    <col min="20" max="20" width="16.44140625" style="395" bestFit="1" customWidth="1"/>
    <col min="21" max="42" width="10.44140625" style="395" customWidth="1"/>
    <col min="43" max="16384" width="8.77734375" style="395"/>
  </cols>
  <sheetData>
    <row r="1" spans="2:18" s="469" customFormat="1" ht="9.4499999999999993" customHeight="1" x14ac:dyDescent="0.25">
      <c r="B1" s="618"/>
      <c r="M1" s="618"/>
    </row>
    <row r="2" spans="2:18" s="472" customFormat="1" ht="25.8" x14ac:dyDescent="0.3">
      <c r="B2" s="828" t="s">
        <v>88</v>
      </c>
      <c r="M2" s="827"/>
    </row>
    <row r="3" spans="2:18" s="469" customFormat="1" x14ac:dyDescent="0.25">
      <c r="B3" s="472" t="s">
        <v>2307</v>
      </c>
      <c r="M3" s="618"/>
    </row>
    <row r="4" spans="2:18" s="469" customFormat="1" ht="7.05" customHeight="1" x14ac:dyDescent="0.25">
      <c r="B4" s="618"/>
      <c r="C4" s="826"/>
      <c r="D4" s="826"/>
      <c r="E4" s="826"/>
      <c r="F4" s="826"/>
      <c r="M4" s="618"/>
    </row>
    <row r="5" spans="2:18" x14ac:dyDescent="0.25">
      <c r="B5" s="413"/>
      <c r="C5" s="825"/>
      <c r="D5" s="825"/>
      <c r="E5" s="825"/>
      <c r="F5" s="825"/>
      <c r="H5" s="395"/>
      <c r="I5" s="395"/>
      <c r="J5" s="395"/>
      <c r="K5" s="395"/>
      <c r="L5" s="395"/>
      <c r="N5" s="395"/>
      <c r="O5" s="395"/>
      <c r="P5" s="395"/>
      <c r="Q5" s="395"/>
      <c r="R5" s="395"/>
    </row>
    <row r="6" spans="2:18" ht="14.25" customHeight="1" x14ac:dyDescent="0.25">
      <c r="B6" s="740" t="s">
        <v>2</v>
      </c>
      <c r="C6" s="829"/>
      <c r="D6" s="829"/>
      <c r="E6" s="829"/>
      <c r="F6" s="829"/>
      <c r="G6" s="829"/>
      <c r="H6" s="403"/>
      <c r="I6" s="403"/>
      <c r="J6" s="403"/>
      <c r="K6" s="403"/>
      <c r="L6" s="403"/>
      <c r="M6" s="454"/>
      <c r="N6" s="403"/>
      <c r="O6" s="403"/>
      <c r="P6" s="403"/>
      <c r="Q6" s="403"/>
      <c r="R6" s="403"/>
    </row>
    <row r="7" spans="2:18" ht="14.25" customHeight="1" x14ac:dyDescent="0.25">
      <c r="B7" s="2037" t="s">
        <v>2303</v>
      </c>
      <c r="C7" s="2037"/>
      <c r="D7" s="2037"/>
      <c r="E7" s="2037"/>
      <c r="F7" s="2037"/>
      <c r="G7" s="2037"/>
      <c r="H7" s="2037"/>
      <c r="I7" s="2037"/>
      <c r="J7" s="2037"/>
      <c r="K7" s="395"/>
      <c r="L7" s="395"/>
      <c r="N7" s="395"/>
      <c r="O7" s="395"/>
      <c r="P7" s="395"/>
      <c r="Q7" s="395"/>
      <c r="R7" s="395"/>
    </row>
    <row r="8" spans="2:18" ht="14.25" customHeight="1" x14ac:dyDescent="0.25">
      <c r="B8" s="2038" t="s">
        <v>3268</v>
      </c>
      <c r="C8" s="2038"/>
      <c r="D8" s="2038"/>
      <c r="E8" s="2038"/>
      <c r="F8" s="2038"/>
      <c r="G8" s="2038"/>
      <c r="H8" s="2038"/>
      <c r="I8" s="2038"/>
      <c r="J8" s="2038"/>
      <c r="K8" s="395"/>
      <c r="L8" s="395"/>
      <c r="N8" s="395"/>
      <c r="O8" s="395"/>
      <c r="P8" s="395"/>
      <c r="Q8" s="395"/>
      <c r="R8" s="395"/>
    </row>
    <row r="9" spans="2:18" x14ac:dyDescent="0.25">
      <c r="B9" s="1729" t="s">
        <v>3269</v>
      </c>
      <c r="C9" s="1729"/>
      <c r="D9" s="1729"/>
      <c r="E9" s="1729"/>
      <c r="F9" s="1729"/>
      <c r="G9" s="1729"/>
      <c r="H9" s="1729"/>
      <c r="I9" s="1729"/>
      <c r="J9" s="1729"/>
      <c r="K9" s="395"/>
      <c r="L9" s="395"/>
      <c r="N9" s="395"/>
      <c r="O9" s="395"/>
      <c r="P9" s="395"/>
      <c r="Q9" s="395"/>
      <c r="R9" s="395"/>
    </row>
    <row r="10" spans="2:18" x14ac:dyDescent="0.25">
      <c r="B10" s="1729" t="s">
        <v>89</v>
      </c>
      <c r="C10" s="1729"/>
      <c r="D10" s="1729"/>
      <c r="E10" s="1729"/>
      <c r="F10" s="1729"/>
      <c r="G10" s="1729"/>
      <c r="H10" s="1729"/>
      <c r="I10" s="1729"/>
      <c r="J10" s="1729"/>
      <c r="K10" s="395"/>
      <c r="L10" s="395"/>
      <c r="M10" s="395"/>
      <c r="N10" s="413"/>
      <c r="O10" s="395"/>
      <c r="P10" s="395"/>
      <c r="Q10" s="395"/>
      <c r="R10" s="395"/>
    </row>
    <row r="11" spans="2:18" ht="20.25" customHeight="1" x14ac:dyDescent="0.25">
      <c r="B11" s="413"/>
      <c r="C11" s="606"/>
      <c r="D11" s="395"/>
      <c r="E11" s="395"/>
      <c r="F11" s="395"/>
      <c r="H11" s="413"/>
      <c r="I11" s="395"/>
      <c r="J11" s="395"/>
      <c r="K11" s="395"/>
      <c r="L11" s="395"/>
      <c r="M11" s="395"/>
      <c r="N11" s="413"/>
      <c r="O11" s="395"/>
      <c r="P11" s="395"/>
      <c r="Q11" s="395"/>
      <c r="R11" s="395"/>
    </row>
    <row r="12" spans="2:18" ht="17.399999999999999" x14ac:dyDescent="0.3">
      <c r="B12" s="413"/>
      <c r="C12" s="2035" t="s">
        <v>90</v>
      </c>
      <c r="D12" s="2036"/>
      <c r="E12" s="395"/>
      <c r="F12" s="395"/>
      <c r="G12" s="1475"/>
      <c r="H12" s="413"/>
      <c r="I12" s="2035" t="s">
        <v>91</v>
      </c>
      <c r="J12" s="2036"/>
      <c r="K12" s="395"/>
      <c r="L12" s="395"/>
      <c r="M12" s="1475"/>
      <c r="N12" s="413"/>
      <c r="O12" s="2035" t="s">
        <v>92</v>
      </c>
      <c r="P12" s="2036"/>
      <c r="Q12" s="395"/>
      <c r="R12" s="395"/>
    </row>
    <row r="13" spans="2:18" x14ac:dyDescent="0.25">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25">
      <c r="B14" s="413"/>
      <c r="C14" s="1084" t="s">
        <v>3267</v>
      </c>
      <c r="D14" s="1476">
        <f>'1. Project Inputs'!$C$27</f>
        <v>45916</v>
      </c>
      <c r="E14" s="395"/>
      <c r="F14" s="395"/>
      <c r="G14" s="1475"/>
      <c r="H14" s="413"/>
      <c r="I14" s="1084" t="s">
        <v>3267</v>
      </c>
      <c r="J14" s="1476">
        <f>'1. Project Inputs'!$C$27</f>
        <v>45916</v>
      </c>
      <c r="K14" s="395"/>
      <c r="L14" s="395"/>
      <c r="M14" s="1475"/>
      <c r="N14" s="413"/>
      <c r="O14" s="1084" t="s">
        <v>3267</v>
      </c>
      <c r="P14" s="1476">
        <f>'1. Project Inputs'!$C$27</f>
        <v>45916</v>
      </c>
      <c r="Q14" s="395"/>
      <c r="R14" s="395"/>
    </row>
    <row r="15" spans="2:18" x14ac:dyDescent="0.25">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25">
      <c r="B16" s="413"/>
      <c r="C16" s="1477"/>
      <c r="D16" s="1478"/>
      <c r="E16" s="395"/>
      <c r="F16" s="395"/>
      <c r="G16" s="1475"/>
      <c r="H16" s="413"/>
      <c r="I16" s="1477"/>
      <c r="J16" s="1478"/>
      <c r="K16" s="395"/>
      <c r="L16" s="395"/>
      <c r="M16" s="1475"/>
      <c r="N16" s="413"/>
      <c r="O16" s="1477"/>
      <c r="P16" s="1478"/>
      <c r="Q16" s="395"/>
      <c r="R16" s="395"/>
    </row>
    <row r="17" spans="2:18" ht="17.399999999999999" x14ac:dyDescent="0.25">
      <c r="B17" s="1479" t="s">
        <v>95</v>
      </c>
      <c r="C17" s="403"/>
      <c r="D17" s="1483"/>
      <c r="E17" s="475"/>
      <c r="F17" s="475"/>
      <c r="G17" s="1480"/>
      <c r="H17" s="1481"/>
      <c r="I17" s="1482"/>
      <c r="J17" s="1483"/>
      <c r="K17" s="475"/>
      <c r="L17" s="475"/>
      <c r="M17" s="1480"/>
      <c r="N17" s="1481"/>
      <c r="O17" s="1482"/>
      <c r="P17" s="1483"/>
      <c r="Q17" s="475"/>
      <c r="R17" s="475"/>
    </row>
    <row r="18" spans="2:18" ht="17.399999999999999" x14ac:dyDescent="0.25">
      <c r="B18" s="1500"/>
      <c r="C18" s="395"/>
      <c r="D18" s="1478"/>
      <c r="E18" s="395"/>
      <c r="F18" s="395"/>
      <c r="G18" s="1475"/>
      <c r="H18" s="413"/>
      <c r="I18" s="1477"/>
      <c r="J18" s="1478"/>
      <c r="K18" s="395"/>
      <c r="L18" s="395"/>
      <c r="M18" s="1475"/>
      <c r="N18" s="413"/>
      <c r="O18" s="1477"/>
      <c r="P18" s="1478"/>
      <c r="Q18" s="395"/>
      <c r="R18" s="395"/>
    </row>
    <row r="19" spans="2:18" x14ac:dyDescent="0.25">
      <c r="B19" s="413"/>
      <c r="C19" s="395"/>
      <c r="D19" s="395"/>
      <c r="E19" s="395"/>
      <c r="F19" s="395"/>
      <c r="G19" s="1475"/>
      <c r="H19" s="395"/>
      <c r="I19" s="395"/>
      <c r="J19" s="395"/>
      <c r="K19" s="395"/>
      <c r="L19" s="395"/>
      <c r="M19" s="1484"/>
      <c r="N19" s="395"/>
      <c r="O19" s="395"/>
      <c r="P19" s="395"/>
      <c r="Q19" s="395"/>
      <c r="R19" s="395"/>
    </row>
    <row r="20" spans="2:18" x14ac:dyDescent="0.25">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25">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25">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25">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25">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25">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25">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25">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25">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25">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25">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25">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25">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25">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4" x14ac:dyDescent="0.3">
      <c r="B34" s="413"/>
      <c r="C34"/>
      <c r="D34"/>
      <c r="E34"/>
      <c r="F34" s="395"/>
      <c r="G34" s="1475"/>
      <c r="H34" s="395"/>
      <c r="I34"/>
      <c r="J34"/>
      <c r="K34"/>
      <c r="L34" s="395"/>
      <c r="M34" s="1475"/>
      <c r="N34" s="413"/>
      <c r="O34"/>
      <c r="P34"/>
      <c r="Q34"/>
      <c r="R34" s="395"/>
    </row>
    <row r="35" spans="2:43" ht="14.4" x14ac:dyDescent="0.3">
      <c r="B35" s="413"/>
      <c r="C35"/>
      <c r="D35"/>
      <c r="E35"/>
      <c r="F35" s="395"/>
      <c r="G35" s="1475"/>
      <c r="H35" s="395"/>
      <c r="I35"/>
      <c r="J35"/>
      <c r="K35"/>
      <c r="L35" s="395"/>
      <c r="M35" s="1475"/>
      <c r="N35" s="413"/>
      <c r="O35"/>
      <c r="P35"/>
      <c r="Q35"/>
      <c r="R35" s="395"/>
    </row>
    <row r="36" spans="2:43" ht="14.4" x14ac:dyDescent="0.3">
      <c r="B36" s="413"/>
      <c r="C36"/>
      <c r="D36"/>
      <c r="E36"/>
      <c r="F36" s="395"/>
      <c r="G36" s="1475"/>
      <c r="H36" s="395"/>
      <c r="I36"/>
      <c r="J36"/>
      <c r="K36"/>
      <c r="L36" s="395"/>
      <c r="M36" s="1475"/>
      <c r="N36" s="413"/>
      <c r="O36"/>
      <c r="P36"/>
      <c r="Q36"/>
      <c r="R36" s="395"/>
    </row>
    <row r="37" spans="2:43" ht="14.4" x14ac:dyDescent="0.3">
      <c r="B37" s="413"/>
      <c r="C37"/>
      <c r="D37"/>
      <c r="E37"/>
      <c r="F37" s="395"/>
      <c r="G37" s="1475"/>
      <c r="H37" s="395"/>
      <c r="I37"/>
      <c r="J37"/>
      <c r="K37"/>
      <c r="L37" s="395"/>
      <c r="M37" s="1475"/>
      <c r="N37" s="413"/>
      <c r="O37"/>
      <c r="P37"/>
      <c r="Q37"/>
      <c r="R37" s="395"/>
    </row>
    <row r="38" spans="2:43" ht="14.4" x14ac:dyDescent="0.3">
      <c r="B38" s="413"/>
      <c r="C38" s="1503"/>
      <c r="D38" s="2"/>
      <c r="E38" s="2"/>
      <c r="F38" s="395"/>
      <c r="G38" s="1475"/>
      <c r="H38" s="395"/>
      <c r="I38" s="1503"/>
      <c r="J38" s="2"/>
      <c r="K38" s="2"/>
      <c r="L38" s="395"/>
      <c r="M38" s="1475"/>
      <c r="N38" s="413"/>
      <c r="O38"/>
      <c r="P38"/>
      <c r="Q38"/>
      <c r="R38" s="395"/>
    </row>
    <row r="39" spans="2:43" x14ac:dyDescent="0.25">
      <c r="B39" s="413"/>
      <c r="C39" s="1503"/>
      <c r="D39" s="2"/>
      <c r="E39" s="2"/>
      <c r="F39" s="395"/>
      <c r="G39" s="1475"/>
      <c r="H39" s="395"/>
      <c r="I39" s="1503"/>
      <c r="J39" s="2"/>
      <c r="K39" s="2"/>
      <c r="L39" s="395"/>
      <c r="M39" s="1475"/>
      <c r="N39" s="413"/>
      <c r="O39" s="1503"/>
      <c r="P39" s="2"/>
      <c r="Q39" s="2"/>
      <c r="R39" s="395"/>
    </row>
    <row r="40" spans="2:43" x14ac:dyDescent="0.25">
      <c r="B40" s="413"/>
      <c r="C40" s="1503"/>
      <c r="D40" s="2"/>
      <c r="E40" s="2"/>
      <c r="F40" s="395"/>
      <c r="G40" s="1475"/>
      <c r="H40" s="395"/>
      <c r="I40" s="1503"/>
      <c r="J40" s="2"/>
      <c r="K40" s="2"/>
      <c r="L40" s="395"/>
      <c r="M40" s="1475"/>
      <c r="N40" s="413"/>
      <c r="O40" s="1503"/>
      <c r="P40" s="2"/>
      <c r="Q40" s="2"/>
      <c r="R40" s="395"/>
    </row>
    <row r="41" spans="2:43" x14ac:dyDescent="0.25">
      <c r="B41" s="413"/>
      <c r="C41" s="1503"/>
      <c r="D41" s="2"/>
      <c r="E41" s="2"/>
      <c r="F41" s="395"/>
      <c r="G41" s="1475"/>
      <c r="H41" s="395"/>
      <c r="I41" s="1503"/>
      <c r="J41" s="2"/>
      <c r="K41" s="2"/>
      <c r="L41" s="395"/>
      <c r="M41" s="1475"/>
      <c r="N41" s="413"/>
      <c r="O41" s="1503"/>
      <c r="P41" s="2"/>
      <c r="Q41" s="2"/>
      <c r="R41" s="395"/>
    </row>
    <row r="42" spans="2:43" x14ac:dyDescent="0.25">
      <c r="B42" s="413"/>
      <c r="C42" s="1503"/>
      <c r="D42" s="2"/>
      <c r="E42" s="2"/>
      <c r="F42" s="395"/>
      <c r="G42" s="1475"/>
      <c r="H42" s="395"/>
      <c r="I42" s="1503"/>
      <c r="J42" s="2"/>
      <c r="K42" s="2"/>
      <c r="L42" s="395"/>
      <c r="M42" s="1475"/>
      <c r="N42" s="413"/>
      <c r="O42" s="1503"/>
      <c r="P42" s="2"/>
      <c r="Q42" s="2"/>
      <c r="R42" s="395"/>
    </row>
    <row r="43" spans="2:43" x14ac:dyDescent="0.25">
      <c r="B43" s="413"/>
      <c r="C43" s="1503"/>
      <c r="D43" s="2"/>
      <c r="E43" s="2"/>
      <c r="F43" s="395"/>
      <c r="G43" s="1475"/>
      <c r="H43" s="395"/>
      <c r="I43" s="1503"/>
      <c r="J43" s="2"/>
      <c r="K43" s="2"/>
      <c r="L43" s="395"/>
      <c r="M43" s="1475"/>
      <c r="N43" s="413"/>
      <c r="O43" s="1503"/>
      <c r="P43" s="2"/>
      <c r="Q43" s="2"/>
      <c r="R43" s="395"/>
    </row>
    <row r="44" spans="2:43" x14ac:dyDescent="0.25">
      <c r="B44" s="413"/>
      <c r="C44" s="1503"/>
      <c r="D44" s="2"/>
      <c r="E44" s="2"/>
      <c r="F44" s="395"/>
      <c r="G44" s="1475"/>
      <c r="H44" s="395"/>
      <c r="I44" s="1503"/>
      <c r="J44" s="2"/>
      <c r="K44" s="2"/>
      <c r="L44" s="395"/>
      <c r="M44" s="1475"/>
      <c r="N44" s="413"/>
      <c r="O44" s="1503"/>
      <c r="P44" s="2"/>
      <c r="Q44" s="2"/>
      <c r="R44" s="395"/>
    </row>
    <row r="45" spans="2:43" x14ac:dyDescent="0.25">
      <c r="B45" s="413"/>
      <c r="C45" s="2"/>
      <c r="D45" s="2"/>
      <c r="E45" s="2"/>
      <c r="F45" s="395"/>
      <c r="G45" s="1475"/>
      <c r="H45" s="395"/>
      <c r="I45" s="2"/>
      <c r="J45" s="2"/>
      <c r="K45" s="2"/>
      <c r="L45" s="395"/>
      <c r="M45" s="1475"/>
      <c r="N45" s="413"/>
      <c r="O45" s="2"/>
      <c r="P45" s="2"/>
      <c r="Q45" s="2"/>
      <c r="R45" s="395"/>
    </row>
    <row r="46" spans="2:43" x14ac:dyDescent="0.25">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25">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25">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25">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25">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25">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25">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25">
      <c r="B53" s="413"/>
      <c r="C53" s="395"/>
      <c r="D53" s="457"/>
      <c r="E53" s="457"/>
      <c r="F53" s="457"/>
      <c r="G53" s="1489"/>
      <c r="H53" s="413"/>
      <c r="I53" s="495"/>
      <c r="J53" s="457"/>
      <c r="K53" s="457"/>
      <c r="L53" s="395"/>
      <c r="M53" s="1475"/>
      <c r="N53" s="413"/>
      <c r="O53" s="495"/>
      <c r="P53" s="457"/>
      <c r="Q53" s="457"/>
      <c r="R53" s="395"/>
    </row>
    <row r="54" spans="2:43" x14ac:dyDescent="0.25">
      <c r="B54" s="413"/>
      <c r="C54" s="495"/>
      <c r="D54" s="457"/>
      <c r="E54" s="457"/>
      <c r="F54" s="457"/>
      <c r="G54" s="1489"/>
      <c r="H54" s="413"/>
      <c r="I54" s="495"/>
      <c r="J54" s="457"/>
      <c r="K54" s="457"/>
      <c r="L54" s="1490"/>
      <c r="M54" s="1475"/>
      <c r="N54" s="413"/>
      <c r="O54" s="495"/>
      <c r="P54" s="457"/>
      <c r="Q54" s="457"/>
      <c r="R54" s="1490"/>
    </row>
    <row r="55" spans="2:43" x14ac:dyDescent="0.25">
      <c r="B55" s="413"/>
      <c r="C55" s="495"/>
      <c r="D55" s="457"/>
      <c r="E55" s="457"/>
      <c r="F55" s="457"/>
      <c r="G55" s="1489"/>
      <c r="H55" s="395"/>
      <c r="I55" s="495"/>
      <c r="J55" s="457"/>
      <c r="K55" s="457"/>
      <c r="L55" s="1491"/>
      <c r="M55" s="1484"/>
      <c r="N55" s="395"/>
      <c r="O55" s="495"/>
      <c r="P55" s="457"/>
      <c r="Q55" s="457"/>
      <c r="R55" s="1491"/>
    </row>
    <row r="56" spans="2:43" x14ac:dyDescent="0.25">
      <c r="B56" s="413"/>
      <c r="C56" s="1492"/>
      <c r="D56" s="819"/>
      <c r="E56" s="819"/>
      <c r="F56" s="819"/>
      <c r="G56" s="1493"/>
      <c r="H56" s="395"/>
      <c r="I56" s="1492"/>
      <c r="J56" s="819"/>
      <c r="K56" s="819"/>
      <c r="L56" s="395"/>
      <c r="M56" s="1484"/>
      <c r="N56" s="395"/>
      <c r="O56" s="1492"/>
      <c r="P56" s="819"/>
      <c r="Q56" s="819"/>
      <c r="R56" s="395"/>
    </row>
    <row r="57" spans="2:43" x14ac:dyDescent="0.25">
      <c r="B57" s="413"/>
      <c r="C57" s="395"/>
      <c r="D57" s="395"/>
      <c r="E57" s="395"/>
      <c r="F57" s="395"/>
      <c r="G57" s="1475"/>
      <c r="H57" s="395"/>
      <c r="I57" s="395"/>
      <c r="J57" s="395"/>
      <c r="K57" s="395"/>
      <c r="L57" s="395"/>
      <c r="M57" s="1484"/>
      <c r="N57" s="395"/>
      <c r="O57" s="395"/>
      <c r="P57" s="395"/>
      <c r="Q57" s="395"/>
      <c r="R57" s="395"/>
    </row>
    <row r="58" spans="2:43" x14ac:dyDescent="0.25">
      <c r="B58" s="413"/>
      <c r="C58" s="395"/>
      <c r="D58" s="395"/>
      <c r="E58" s="395"/>
      <c r="F58" s="395"/>
      <c r="G58" s="1475"/>
      <c r="H58" s="395"/>
      <c r="I58" s="824"/>
      <c r="J58" s="824"/>
      <c r="K58" s="823"/>
      <c r="L58" s="1494"/>
      <c r="M58" s="1484"/>
      <c r="N58" s="395"/>
      <c r="O58" s="824"/>
      <c r="P58" s="824"/>
      <c r="Q58" s="823"/>
      <c r="R58" s="1494"/>
    </row>
    <row r="59" spans="2:43" x14ac:dyDescent="0.25">
      <c r="B59" s="413"/>
      <c r="C59" s="395"/>
      <c r="D59" s="395"/>
      <c r="E59" s="395"/>
      <c r="F59" s="395"/>
      <c r="G59" s="1475"/>
      <c r="H59" s="395"/>
      <c r="I59" s="654"/>
      <c r="J59" s="413"/>
      <c r="K59" s="413"/>
      <c r="L59" s="1495"/>
      <c r="M59" s="1484"/>
      <c r="N59" s="395"/>
      <c r="O59" s="654"/>
      <c r="P59" s="413"/>
      <c r="Q59" s="413"/>
      <c r="R59" s="1495"/>
    </row>
    <row r="60" spans="2:43" x14ac:dyDescent="0.25">
      <c r="B60" s="413"/>
      <c r="C60" s="395"/>
      <c r="D60" s="395"/>
      <c r="E60" s="395"/>
      <c r="F60" s="395"/>
      <c r="G60" s="1475"/>
      <c r="H60" s="395"/>
      <c r="I60" s="413"/>
      <c r="J60" s="413"/>
      <c r="K60" s="413"/>
      <c r="L60" s="413"/>
      <c r="M60" s="1484"/>
      <c r="N60" s="395"/>
      <c r="O60" s="413"/>
      <c r="P60" s="413"/>
      <c r="Q60" s="413"/>
      <c r="R60" s="413"/>
    </row>
    <row r="61" spans="2:43" x14ac:dyDescent="0.25">
      <c r="B61" s="413"/>
      <c r="C61" s="395"/>
      <c r="D61" s="395"/>
      <c r="E61" s="395"/>
      <c r="F61" s="395"/>
      <c r="G61" s="1475"/>
      <c r="H61" s="395"/>
      <c r="I61" s="824"/>
      <c r="J61" s="824"/>
      <c r="K61" s="824"/>
      <c r="L61" s="1494"/>
      <c r="M61" s="1484"/>
      <c r="N61" s="395"/>
      <c r="O61" s="824"/>
      <c r="P61" s="824"/>
      <c r="Q61" s="824"/>
      <c r="R61" s="1494"/>
    </row>
    <row r="62" spans="2:43" x14ac:dyDescent="0.25">
      <c r="B62" s="413"/>
      <c r="C62" s="395"/>
      <c r="D62" s="395"/>
      <c r="E62" s="395"/>
      <c r="F62" s="395"/>
      <c r="G62" s="1475"/>
      <c r="H62" s="395"/>
      <c r="I62" s="1665"/>
      <c r="J62" s="1665"/>
      <c r="K62" s="1665"/>
      <c r="L62" s="1665"/>
      <c r="M62" s="1484"/>
      <c r="N62" s="395"/>
      <c r="O62" s="395"/>
      <c r="P62" s="395"/>
      <c r="Q62" s="395"/>
      <c r="R62" s="395"/>
    </row>
    <row r="63" spans="2:43" x14ac:dyDescent="0.25">
      <c r="B63" s="413"/>
      <c r="C63" s="395"/>
      <c r="D63" s="395"/>
      <c r="E63" s="395"/>
      <c r="F63" s="395"/>
      <c r="G63" s="1475"/>
      <c r="H63" s="395"/>
      <c r="I63" s="1665"/>
      <c r="J63" s="1665"/>
      <c r="K63" s="1665"/>
      <c r="L63" s="1665"/>
      <c r="M63" s="1484"/>
      <c r="N63" s="395"/>
      <c r="O63" s="395"/>
      <c r="P63" s="395"/>
      <c r="Q63" s="395"/>
      <c r="R63" s="395"/>
    </row>
    <row r="64" spans="2:43" x14ac:dyDescent="0.25">
      <c r="B64" s="413"/>
      <c r="C64" s="395"/>
      <c r="D64" s="395"/>
      <c r="E64" s="395"/>
      <c r="F64" s="395"/>
      <c r="G64" s="1475"/>
      <c r="H64" s="395"/>
      <c r="I64" s="1665"/>
      <c r="J64" s="1665"/>
      <c r="K64" s="1665"/>
      <c r="L64" s="1665"/>
      <c r="M64" s="1484"/>
      <c r="N64" s="395"/>
      <c r="O64" s="395"/>
      <c r="P64" s="395"/>
      <c r="Q64" s="395"/>
      <c r="R64" s="395"/>
    </row>
    <row r="65" spans="2:18" x14ac:dyDescent="0.25">
      <c r="B65" s="413"/>
      <c r="C65" s="395"/>
      <c r="D65" s="395"/>
      <c r="E65" s="395"/>
      <c r="F65" s="395"/>
      <c r="G65" s="1475"/>
      <c r="H65" s="395"/>
      <c r="I65" s="1665"/>
      <c r="J65" s="1665"/>
      <c r="K65" s="1665"/>
      <c r="L65" s="1665"/>
      <c r="M65" s="1484"/>
      <c r="N65" s="395"/>
      <c r="O65" s="395"/>
      <c r="P65" s="395"/>
      <c r="Q65" s="395"/>
      <c r="R65" s="395"/>
    </row>
    <row r="66" spans="2:18" x14ac:dyDescent="0.25">
      <c r="B66" s="413"/>
      <c r="C66" s="395"/>
      <c r="D66" s="395"/>
      <c r="E66" s="395"/>
      <c r="F66" s="395"/>
      <c r="G66" s="1475"/>
      <c r="H66" s="395"/>
      <c r="I66" s="1665"/>
      <c r="J66" s="1665"/>
      <c r="K66" s="1665"/>
      <c r="L66" s="1665"/>
      <c r="M66" s="1484"/>
      <c r="N66" s="395"/>
      <c r="O66" s="395"/>
      <c r="P66" s="395"/>
      <c r="Q66" s="395"/>
      <c r="R66" s="395"/>
    </row>
    <row r="67" spans="2:18" x14ac:dyDescent="0.25">
      <c r="B67" s="413"/>
      <c r="C67" s="395"/>
      <c r="D67" s="395"/>
      <c r="E67" s="395"/>
      <c r="F67" s="395"/>
      <c r="G67" s="1475"/>
      <c r="H67" s="395"/>
      <c r="I67" s="1665"/>
      <c r="J67" s="1665"/>
      <c r="K67" s="1665"/>
      <c r="L67" s="1665"/>
      <c r="M67" s="1484"/>
      <c r="N67" s="395"/>
      <c r="O67" s="395"/>
      <c r="P67" s="395"/>
      <c r="Q67" s="395"/>
      <c r="R67" s="395"/>
    </row>
    <row r="68" spans="2:18" x14ac:dyDescent="0.25">
      <c r="B68" s="413"/>
      <c r="C68" s="395"/>
      <c r="D68" s="395"/>
      <c r="E68" s="395"/>
      <c r="F68" s="395"/>
      <c r="G68" s="1475"/>
      <c r="H68" s="395"/>
      <c r="I68" s="1665"/>
      <c r="J68" s="1665"/>
      <c r="K68" s="1665"/>
      <c r="L68" s="1665"/>
      <c r="M68" s="1484"/>
      <c r="N68" s="395"/>
      <c r="O68" s="395"/>
      <c r="P68" s="395"/>
      <c r="Q68" s="395"/>
      <c r="R68" s="395"/>
    </row>
    <row r="69" spans="2:18" x14ac:dyDescent="0.25">
      <c r="B69" s="413"/>
      <c r="C69" s="395"/>
      <c r="D69" s="395"/>
      <c r="E69" s="395"/>
      <c r="F69" s="395"/>
      <c r="G69" s="1475"/>
      <c r="H69" s="395"/>
      <c r="I69" s="1665"/>
      <c r="J69" s="1665"/>
      <c r="K69" s="1665"/>
      <c r="L69" s="1665"/>
      <c r="M69" s="1484"/>
      <c r="N69" s="395"/>
      <c r="O69" s="395"/>
      <c r="P69" s="395"/>
      <c r="Q69" s="395"/>
      <c r="R69" s="395"/>
    </row>
    <row r="70" spans="2:18" x14ac:dyDescent="0.25">
      <c r="B70" s="413"/>
      <c r="C70" s="395"/>
      <c r="D70" s="395"/>
      <c r="E70" s="395"/>
      <c r="F70" s="395"/>
      <c r="G70" s="1475"/>
      <c r="H70" s="395"/>
      <c r="I70" s="1665"/>
      <c r="J70" s="1665"/>
      <c r="K70" s="1665"/>
      <c r="L70" s="1665"/>
      <c r="M70" s="1484"/>
      <c r="N70" s="395"/>
      <c r="O70" s="395"/>
      <c r="P70" s="395"/>
      <c r="Q70" s="395"/>
      <c r="R70" s="395"/>
    </row>
    <row r="71" spans="2:18" x14ac:dyDescent="0.25">
      <c r="B71" s="413"/>
      <c r="C71" s="395"/>
      <c r="D71" s="492"/>
      <c r="E71" s="600"/>
      <c r="F71" s="600"/>
      <c r="G71" s="1499"/>
      <c r="H71" s="395"/>
      <c r="I71" s="1665"/>
      <c r="J71" s="1665"/>
      <c r="K71" s="1665"/>
      <c r="L71" s="1665"/>
      <c r="M71" s="1484"/>
      <c r="N71" s="395"/>
      <c r="O71" s="395"/>
      <c r="P71" s="395"/>
      <c r="Q71" s="395"/>
      <c r="R71" s="395"/>
    </row>
    <row r="72" spans="2:18" x14ac:dyDescent="0.25">
      <c r="B72" s="413"/>
      <c r="C72" s="1496"/>
      <c r="D72" s="495"/>
      <c r="E72" s="820"/>
      <c r="F72" s="820"/>
      <c r="G72" s="1497"/>
      <c r="H72" s="395"/>
      <c r="I72" s="1665"/>
      <c r="J72" s="1665"/>
      <c r="K72" s="1665"/>
      <c r="L72" s="1665"/>
      <c r="M72" s="1484"/>
      <c r="N72" s="395"/>
      <c r="O72" s="395"/>
      <c r="P72" s="395"/>
      <c r="Q72" s="395"/>
      <c r="R72" s="395"/>
    </row>
    <row r="73" spans="2:18" x14ac:dyDescent="0.25">
      <c r="B73" s="413"/>
      <c r="C73" s="1496"/>
      <c r="D73" s="495"/>
      <c r="E73" s="820"/>
      <c r="F73" s="820"/>
      <c r="G73" s="1497"/>
      <c r="H73" s="395"/>
      <c r="I73" s="1665"/>
      <c r="J73" s="1665"/>
      <c r="K73" s="1665"/>
      <c r="L73" s="1665"/>
      <c r="M73" s="1484"/>
      <c r="N73" s="395"/>
      <c r="O73" s="395"/>
      <c r="P73" s="395"/>
      <c r="Q73" s="395"/>
      <c r="R73" s="395"/>
    </row>
    <row r="74" spans="2:18" x14ac:dyDescent="0.25">
      <c r="B74" s="413"/>
      <c r="C74" s="1496"/>
      <c r="D74" s="495"/>
      <c r="E74" s="820"/>
      <c r="F74" s="820"/>
      <c r="G74" s="1497"/>
      <c r="H74" s="395"/>
      <c r="I74" s="1665"/>
      <c r="J74" s="1665"/>
      <c r="K74" s="1665"/>
      <c r="L74" s="1665"/>
      <c r="M74" s="1484"/>
      <c r="N74" s="395"/>
      <c r="O74" s="395"/>
      <c r="P74" s="395"/>
      <c r="Q74" s="395"/>
      <c r="R74" s="395"/>
    </row>
    <row r="75" spans="2:18" x14ac:dyDescent="0.25">
      <c r="B75" s="413"/>
      <c r="C75" s="1496"/>
      <c r="D75" s="495"/>
      <c r="E75" s="820"/>
      <c r="F75" s="820"/>
      <c r="G75" s="1497"/>
      <c r="H75" s="395"/>
      <c r="I75" s="1665"/>
      <c r="J75" s="1665"/>
      <c r="K75" s="1665"/>
      <c r="L75" s="1665"/>
      <c r="M75" s="1484"/>
      <c r="N75" s="395"/>
      <c r="O75" s="395"/>
      <c r="P75" s="395"/>
      <c r="Q75" s="395"/>
      <c r="R75" s="395"/>
    </row>
    <row r="76" spans="2:18" x14ac:dyDescent="0.25">
      <c r="B76" s="413"/>
      <c r="C76" s="1496"/>
      <c r="D76" s="495"/>
      <c r="E76" s="820"/>
      <c r="F76" s="820"/>
      <c r="G76" s="1497"/>
      <c r="H76" s="395"/>
      <c r="I76" s="1665"/>
      <c r="J76" s="1665"/>
      <c r="K76" s="1665"/>
      <c r="L76" s="1665"/>
      <c r="M76" s="1484"/>
      <c r="N76" s="395"/>
      <c r="O76" s="395"/>
      <c r="P76" s="395"/>
      <c r="Q76" s="395"/>
      <c r="R76" s="395"/>
    </row>
    <row r="77" spans="2:18" x14ac:dyDescent="0.25">
      <c r="B77" s="413"/>
      <c r="C77" s="1496"/>
      <c r="D77" s="495"/>
      <c r="E77" s="820"/>
      <c r="F77" s="820"/>
      <c r="G77" s="1497"/>
      <c r="H77" s="395"/>
      <c r="I77" s="1665"/>
      <c r="J77" s="1665"/>
      <c r="K77" s="1665"/>
      <c r="L77" s="1665"/>
      <c r="M77" s="1484"/>
      <c r="N77" s="395"/>
      <c r="O77" s="395"/>
      <c r="P77" s="395"/>
      <c r="Q77" s="395"/>
      <c r="R77" s="395"/>
    </row>
    <row r="78" spans="2:18" x14ac:dyDescent="0.25">
      <c r="B78" s="413"/>
      <c r="C78" s="1496"/>
      <c r="D78" s="495"/>
      <c r="E78" s="820"/>
      <c r="F78" s="820"/>
      <c r="G78" s="1497"/>
      <c r="H78" s="395"/>
      <c r="I78" s="1665"/>
      <c r="J78" s="1665"/>
      <c r="K78" s="1665"/>
      <c r="L78" s="1665"/>
      <c r="M78" s="1484"/>
      <c r="N78" s="395"/>
      <c r="O78" s="395"/>
      <c r="P78" s="395"/>
      <c r="Q78" s="395"/>
      <c r="R78" s="395"/>
    </row>
    <row r="79" spans="2:18" x14ac:dyDescent="0.25">
      <c r="B79" s="413"/>
      <c r="C79" s="1496"/>
      <c r="D79" s="495"/>
      <c r="E79" s="820"/>
      <c r="F79" s="820"/>
      <c r="G79" s="1497"/>
      <c r="H79" s="395"/>
      <c r="I79" s="1665"/>
      <c r="J79" s="1665"/>
      <c r="K79" s="1665"/>
      <c r="L79" s="1665"/>
      <c r="M79" s="1484"/>
      <c r="N79" s="395"/>
      <c r="O79" s="395"/>
      <c r="P79" s="395"/>
      <c r="Q79" s="395"/>
      <c r="R79" s="395"/>
    </row>
    <row r="80" spans="2:18" x14ac:dyDescent="0.25">
      <c r="B80" s="413"/>
      <c r="C80" s="1496"/>
      <c r="D80" s="495"/>
      <c r="E80" s="820"/>
      <c r="F80" s="820"/>
      <c r="G80" s="1497"/>
      <c r="H80" s="395"/>
      <c r="I80" s="1665"/>
      <c r="J80" s="1665"/>
      <c r="K80" s="1665"/>
      <c r="L80" s="1665"/>
      <c r="M80" s="1484"/>
      <c r="N80" s="395"/>
      <c r="O80" s="395"/>
      <c r="P80" s="395"/>
      <c r="Q80" s="395"/>
      <c r="R80" s="395"/>
    </row>
    <row r="81" spans="2:18" x14ac:dyDescent="0.25">
      <c r="B81" s="413"/>
      <c r="C81" s="1496"/>
      <c r="D81" s="495"/>
      <c r="E81" s="820"/>
      <c r="F81" s="820"/>
      <c r="G81" s="1497"/>
      <c r="H81" s="395"/>
      <c r="I81" s="395"/>
      <c r="J81" s="395"/>
      <c r="K81" s="395"/>
      <c r="L81" s="395"/>
      <c r="M81" s="1484"/>
      <c r="N81" s="395"/>
      <c r="O81" s="395"/>
      <c r="P81" s="395"/>
      <c r="Q81" s="395"/>
      <c r="R81" s="395"/>
    </row>
    <row r="82" spans="2:18" x14ac:dyDescent="0.25">
      <c r="B82" s="413"/>
      <c r="C82" s="395"/>
      <c r="D82" s="1492"/>
      <c r="E82" s="819"/>
      <c r="F82" s="819"/>
      <c r="G82" s="1493"/>
      <c r="H82" s="395"/>
      <c r="I82" s="395"/>
      <c r="J82" s="395"/>
      <c r="K82" s="395"/>
      <c r="L82" s="395"/>
      <c r="M82" s="1484"/>
      <c r="N82" s="395"/>
      <c r="O82" s="395"/>
      <c r="P82" s="395"/>
      <c r="Q82" s="395"/>
      <c r="R82" s="395"/>
    </row>
    <row r="83" spans="2:18" x14ac:dyDescent="0.25">
      <c r="B83" s="413"/>
      <c r="C83" s="395"/>
      <c r="D83" s="395"/>
      <c r="E83" s="395"/>
      <c r="F83" s="395"/>
      <c r="G83" s="1475"/>
      <c r="H83" s="395"/>
      <c r="I83" s="395"/>
      <c r="J83" s="395"/>
      <c r="K83" s="395"/>
      <c r="L83" s="395"/>
      <c r="M83" s="1484"/>
      <c r="N83" s="395"/>
      <c r="O83" s="395"/>
      <c r="P83" s="395"/>
      <c r="Q83" s="395"/>
      <c r="R83" s="395"/>
    </row>
    <row r="84" spans="2:18" x14ac:dyDescent="0.25">
      <c r="B84" s="413"/>
      <c r="C84" s="395"/>
      <c r="D84" s="395"/>
      <c r="E84" s="395"/>
      <c r="F84" s="395"/>
      <c r="G84" s="1475"/>
      <c r="H84" s="395"/>
      <c r="I84" s="395"/>
      <c r="J84" s="395"/>
      <c r="K84" s="395"/>
      <c r="L84" s="395"/>
      <c r="M84" s="1484"/>
      <c r="N84" s="395"/>
      <c r="O84" s="395"/>
      <c r="P84" s="395"/>
      <c r="Q84" s="395"/>
      <c r="R84" s="395"/>
    </row>
    <row r="85" spans="2:18" x14ac:dyDescent="0.25">
      <c r="B85" s="413"/>
      <c r="C85" s="395"/>
      <c r="D85" s="395"/>
      <c r="E85" s="395"/>
      <c r="F85" s="395"/>
      <c r="G85" s="1475"/>
      <c r="H85" s="395"/>
      <c r="I85" s="395"/>
      <c r="J85" s="395"/>
      <c r="K85" s="395"/>
      <c r="L85" s="395"/>
      <c r="M85" s="1484"/>
      <c r="N85" s="395"/>
      <c r="O85" s="395"/>
      <c r="P85" s="395"/>
      <c r="Q85" s="395"/>
      <c r="R85" s="395"/>
    </row>
    <row r="86" spans="2:18" x14ac:dyDescent="0.25">
      <c r="B86" s="413"/>
      <c r="C86" s="395"/>
      <c r="D86" s="395"/>
      <c r="E86" s="395"/>
      <c r="F86" s="395"/>
      <c r="G86" s="1475"/>
      <c r="H86" s="395"/>
      <c r="I86" s="395"/>
      <c r="J86" s="395"/>
      <c r="K86" s="395"/>
      <c r="L86" s="395"/>
      <c r="M86" s="1484"/>
      <c r="N86" s="395"/>
      <c r="O86" s="395"/>
      <c r="P86" s="395"/>
      <c r="Q86" s="395"/>
      <c r="R86" s="395"/>
    </row>
    <row r="87" spans="2:18" x14ac:dyDescent="0.25">
      <c r="B87" s="413"/>
      <c r="C87" s="824"/>
      <c r="D87" s="824"/>
      <c r="E87" s="823"/>
      <c r="F87" s="823"/>
      <c r="G87" s="1498"/>
      <c r="H87" s="395"/>
      <c r="I87" s="395"/>
      <c r="J87" s="395"/>
      <c r="K87" s="395"/>
      <c r="L87" s="395"/>
      <c r="M87" s="1484"/>
      <c r="N87" s="395"/>
      <c r="O87" s="395"/>
      <c r="P87" s="395"/>
      <c r="Q87" s="395"/>
      <c r="R87" s="395"/>
    </row>
    <row r="88" spans="2:18" x14ac:dyDescent="0.25">
      <c r="B88" s="413"/>
      <c r="C88" s="654"/>
      <c r="D88" s="413"/>
      <c r="E88" s="413"/>
      <c r="F88" s="413"/>
      <c r="G88" s="1484"/>
      <c r="H88" s="395"/>
      <c r="I88" s="395"/>
      <c r="J88" s="395"/>
      <c r="K88" s="395"/>
      <c r="L88" s="395"/>
      <c r="M88" s="1484"/>
      <c r="N88" s="395"/>
      <c r="O88" s="395"/>
      <c r="P88" s="395"/>
      <c r="Q88" s="395"/>
      <c r="R88" s="395"/>
    </row>
    <row r="89" spans="2:18" x14ac:dyDescent="0.25">
      <c r="B89" s="413"/>
      <c r="C89" s="413"/>
      <c r="D89" s="413"/>
      <c r="E89" s="413"/>
      <c r="F89" s="413"/>
      <c r="G89" s="1484"/>
      <c r="H89" s="395"/>
      <c r="I89" s="395"/>
      <c r="J89" s="395"/>
      <c r="K89" s="395"/>
      <c r="L89" s="395"/>
      <c r="M89" s="1484"/>
      <c r="N89" s="395"/>
      <c r="O89" s="395"/>
      <c r="P89" s="395"/>
      <c r="Q89" s="395"/>
      <c r="R89" s="395"/>
    </row>
    <row r="90" spans="2:18" x14ac:dyDescent="0.25">
      <c r="B90" s="413"/>
      <c r="C90" s="824"/>
      <c r="D90" s="824"/>
      <c r="E90" s="824"/>
      <c r="F90" s="824"/>
      <c r="G90" s="1487"/>
      <c r="H90" s="395"/>
      <c r="I90" s="395"/>
      <c r="J90" s="395"/>
      <c r="K90" s="395"/>
      <c r="L90" s="395"/>
      <c r="M90" s="1484"/>
      <c r="N90" s="395"/>
      <c r="O90" s="395"/>
      <c r="P90" s="395"/>
      <c r="Q90" s="395"/>
      <c r="R90" s="395"/>
    </row>
    <row r="91" spans="2:18" x14ac:dyDescent="0.25">
      <c r="B91" s="413"/>
      <c r="C91" s="395"/>
      <c r="D91" s="395"/>
      <c r="E91" s="395"/>
      <c r="F91" s="395"/>
      <c r="G91" s="1475"/>
      <c r="H91" s="395"/>
      <c r="I91" s="395"/>
      <c r="J91" s="395"/>
      <c r="K91" s="395"/>
      <c r="L91" s="395"/>
      <c r="M91" s="1484"/>
      <c r="N91" s="395"/>
      <c r="O91" s="395"/>
      <c r="P91" s="395"/>
      <c r="Q91" s="395"/>
      <c r="R91" s="395"/>
    </row>
    <row r="92" spans="2:18" x14ac:dyDescent="0.25">
      <c r="B92" s="413"/>
      <c r="C92" s="395"/>
      <c r="D92" s="395"/>
      <c r="E92" s="395"/>
      <c r="F92" s="395"/>
      <c r="G92" s="1475"/>
      <c r="H92" s="395"/>
      <c r="I92" s="395"/>
      <c r="J92" s="395"/>
      <c r="K92" s="395"/>
      <c r="L92" s="395"/>
      <c r="M92" s="1484"/>
      <c r="N92" s="395"/>
      <c r="O92" s="395"/>
      <c r="P92" s="395"/>
      <c r="Q92" s="395"/>
      <c r="R92" s="395"/>
    </row>
    <row r="93" spans="2:18" x14ac:dyDescent="0.25">
      <c r="B93" s="413"/>
      <c r="C93" s="395"/>
      <c r="D93" s="395"/>
      <c r="E93" s="395"/>
      <c r="F93" s="395"/>
      <c r="G93" s="1475"/>
      <c r="H93" s="395"/>
      <c r="I93" s="395"/>
      <c r="J93" s="395"/>
      <c r="K93" s="395"/>
      <c r="L93" s="395"/>
      <c r="M93" s="1484"/>
      <c r="N93" s="395"/>
      <c r="O93" s="395"/>
      <c r="P93" s="395"/>
      <c r="Q93" s="395"/>
      <c r="R93" s="395"/>
    </row>
    <row r="94" spans="2:18" x14ac:dyDescent="0.25">
      <c r="B94" s="413"/>
      <c r="C94" s="395"/>
      <c r="D94" s="395"/>
      <c r="E94" s="395"/>
      <c r="F94" s="395"/>
      <c r="G94" s="1475"/>
      <c r="H94" s="395"/>
      <c r="I94" s="395"/>
      <c r="J94" s="395"/>
      <c r="K94" s="395"/>
      <c r="L94" s="395"/>
      <c r="M94" s="1484"/>
      <c r="N94" s="395"/>
      <c r="O94" s="395"/>
      <c r="P94" s="395"/>
      <c r="Q94" s="395"/>
      <c r="R94" s="395"/>
    </row>
    <row r="95" spans="2:18" x14ac:dyDescent="0.25">
      <c r="B95" s="413"/>
      <c r="C95" s="395"/>
      <c r="D95" s="395"/>
      <c r="E95" s="395"/>
      <c r="F95" s="395"/>
      <c r="G95" s="1475"/>
      <c r="H95" s="395"/>
      <c r="I95" s="395"/>
      <c r="J95" s="395"/>
      <c r="K95" s="395"/>
      <c r="L95" s="395"/>
      <c r="M95" s="1484"/>
      <c r="N95" s="395"/>
      <c r="O95" s="395"/>
      <c r="P95" s="395"/>
      <c r="Q95" s="395"/>
      <c r="R95" s="395"/>
    </row>
    <row r="96" spans="2:18" x14ac:dyDescent="0.25">
      <c r="B96" s="413"/>
      <c r="C96" s="395"/>
      <c r="D96" s="395"/>
      <c r="E96" s="395"/>
      <c r="F96" s="395"/>
      <c r="G96" s="1475"/>
      <c r="H96" s="395"/>
      <c r="I96" s="395"/>
      <c r="J96" s="395"/>
      <c r="K96" s="395"/>
      <c r="L96" s="395"/>
      <c r="M96" s="1484"/>
      <c r="N96" s="395"/>
      <c r="O96" s="395"/>
      <c r="P96" s="395"/>
      <c r="Q96" s="395"/>
      <c r="R96" s="395"/>
    </row>
    <row r="97" spans="2:18" x14ac:dyDescent="0.25">
      <c r="B97" s="413"/>
      <c r="C97" s="395"/>
      <c r="D97" s="395"/>
      <c r="E97" s="395"/>
      <c r="F97" s="395"/>
      <c r="G97" s="1475"/>
      <c r="H97" s="395"/>
      <c r="I97" s="395"/>
      <c r="J97" s="395"/>
      <c r="K97" s="395"/>
      <c r="L97" s="395"/>
      <c r="M97" s="1484"/>
      <c r="N97" s="395"/>
      <c r="O97" s="395"/>
      <c r="P97" s="395"/>
      <c r="Q97" s="395"/>
      <c r="R97" s="395"/>
    </row>
    <row r="98" spans="2:18" x14ac:dyDescent="0.25">
      <c r="B98" s="413"/>
      <c r="C98" s="395"/>
      <c r="D98" s="395"/>
      <c r="E98" s="395"/>
      <c r="F98" s="395"/>
      <c r="G98" s="1475"/>
      <c r="H98" s="395"/>
      <c r="I98" s="395"/>
      <c r="J98" s="395"/>
      <c r="K98" s="395"/>
      <c r="L98" s="395"/>
      <c r="M98" s="1484"/>
      <c r="N98" s="395"/>
      <c r="O98" s="395"/>
      <c r="P98" s="395"/>
      <c r="Q98" s="395"/>
      <c r="R98" s="395"/>
    </row>
    <row r="99" spans="2:18" x14ac:dyDescent="0.25">
      <c r="B99" s="413"/>
      <c r="C99" s="395"/>
      <c r="D99" s="395"/>
      <c r="E99" s="395"/>
      <c r="F99" s="395"/>
      <c r="G99" s="1475"/>
      <c r="H99" s="395"/>
      <c r="I99" s="395"/>
      <c r="J99" s="395"/>
      <c r="K99" s="395"/>
      <c r="L99" s="395"/>
      <c r="M99" s="1484"/>
      <c r="N99" s="395"/>
      <c r="O99" s="395"/>
      <c r="P99" s="395"/>
      <c r="Q99" s="395"/>
      <c r="R99" s="395"/>
    </row>
    <row r="100" spans="2:18" x14ac:dyDescent="0.25">
      <c r="B100" s="413"/>
      <c r="C100" s="395"/>
      <c r="D100" s="395"/>
      <c r="E100" s="395"/>
      <c r="F100" s="395"/>
      <c r="G100" s="1475"/>
      <c r="H100" s="395"/>
      <c r="I100" s="395"/>
      <c r="J100" s="395"/>
      <c r="K100" s="395"/>
      <c r="L100" s="395"/>
      <c r="M100" s="1484"/>
      <c r="N100" s="395"/>
      <c r="O100" s="395"/>
      <c r="P100" s="395"/>
      <c r="Q100" s="395"/>
      <c r="R100" s="395"/>
    </row>
    <row r="101" spans="2:18" x14ac:dyDescent="0.25">
      <c r="B101" s="413"/>
      <c r="C101" s="395"/>
      <c r="D101" s="395"/>
      <c r="E101" s="395"/>
      <c r="F101" s="395"/>
      <c r="G101" s="1475"/>
      <c r="H101" s="395"/>
      <c r="I101" s="395"/>
      <c r="J101" s="395"/>
      <c r="K101" s="395"/>
      <c r="L101" s="395"/>
      <c r="M101" s="1484"/>
      <c r="N101" s="395"/>
      <c r="O101" s="395"/>
      <c r="P101" s="395"/>
      <c r="Q101" s="395"/>
      <c r="R101" s="395"/>
    </row>
    <row r="102" spans="2:18" x14ac:dyDescent="0.25">
      <c r="B102" s="413"/>
      <c r="C102" s="395"/>
      <c r="D102" s="395"/>
      <c r="E102" s="395"/>
      <c r="F102" s="395"/>
      <c r="G102" s="1475"/>
      <c r="H102" s="395"/>
      <c r="I102" s="395"/>
      <c r="J102" s="395"/>
      <c r="K102" s="395"/>
      <c r="L102" s="395"/>
      <c r="M102" s="1484"/>
      <c r="N102" s="395"/>
      <c r="O102" s="395"/>
      <c r="P102" s="395"/>
      <c r="Q102" s="395"/>
      <c r="R102" s="395"/>
    </row>
    <row r="103" spans="2:18" x14ac:dyDescent="0.25">
      <c r="B103" s="413"/>
      <c r="C103" s="395"/>
      <c r="D103" s="395"/>
      <c r="E103" s="395"/>
      <c r="F103" s="395"/>
      <c r="G103" s="1475"/>
      <c r="H103" s="395"/>
      <c r="I103" s="395"/>
      <c r="J103" s="395"/>
      <c r="K103" s="395"/>
      <c r="L103" s="395"/>
      <c r="M103" s="1484"/>
      <c r="N103" s="395"/>
      <c r="O103" s="395"/>
      <c r="P103" s="395"/>
      <c r="Q103" s="395"/>
      <c r="R103" s="395"/>
    </row>
    <row r="104" spans="2:18" x14ac:dyDescent="0.25">
      <c r="B104" s="413"/>
      <c r="C104" s="395"/>
      <c r="D104" s="395"/>
      <c r="E104" s="395"/>
      <c r="F104" s="395"/>
      <c r="G104" s="1475"/>
      <c r="H104" s="395"/>
      <c r="I104" s="395"/>
      <c r="J104" s="395"/>
      <c r="K104" s="395"/>
      <c r="L104" s="395"/>
      <c r="M104" s="1484"/>
      <c r="N104" s="395"/>
      <c r="O104" s="395"/>
      <c r="P104" s="395"/>
      <c r="Q104" s="395"/>
      <c r="R104" s="395"/>
    </row>
    <row r="105" spans="2:18" x14ac:dyDescent="0.25">
      <c r="B105" s="413"/>
      <c r="C105" s="395"/>
      <c r="D105" s="395"/>
      <c r="E105" s="395"/>
      <c r="F105" s="395"/>
      <c r="G105" s="1475"/>
      <c r="H105" s="395"/>
      <c r="I105" s="395"/>
      <c r="J105" s="395"/>
      <c r="K105" s="395"/>
      <c r="L105" s="395"/>
      <c r="M105" s="1484"/>
      <c r="N105" s="395"/>
      <c r="O105" s="395"/>
      <c r="P105" s="395"/>
      <c r="Q105" s="395"/>
      <c r="R105" s="395"/>
    </row>
    <row r="106" spans="2:18" x14ac:dyDescent="0.25">
      <c r="B106" s="413"/>
      <c r="C106" s="395"/>
      <c r="D106" s="395"/>
      <c r="E106" s="395"/>
      <c r="F106" s="395"/>
      <c r="G106" s="1475"/>
      <c r="H106" s="395"/>
      <c r="I106" s="395"/>
      <c r="J106" s="395"/>
      <c r="K106" s="395"/>
      <c r="L106" s="395"/>
      <c r="M106" s="1484"/>
      <c r="N106" s="395"/>
      <c r="O106" s="395"/>
      <c r="P106" s="395"/>
      <c r="Q106" s="395"/>
      <c r="R106" s="395"/>
    </row>
    <row r="107" spans="2:18" x14ac:dyDescent="0.25">
      <c r="B107" s="413"/>
      <c r="C107" s="395"/>
      <c r="D107" s="395"/>
      <c r="E107" s="395"/>
      <c r="F107" s="395"/>
      <c r="G107" s="1475"/>
      <c r="H107" s="395"/>
      <c r="I107" s="395"/>
      <c r="J107" s="395"/>
      <c r="K107" s="395"/>
      <c r="L107" s="395"/>
      <c r="M107" s="1484"/>
      <c r="N107" s="395"/>
      <c r="O107" s="395"/>
      <c r="P107" s="395"/>
      <c r="Q107" s="395"/>
      <c r="R107" s="395"/>
    </row>
    <row r="108" spans="2:18" x14ac:dyDescent="0.25">
      <c r="B108" s="413"/>
      <c r="C108" s="395"/>
      <c r="D108" s="395"/>
      <c r="E108" s="395"/>
      <c r="F108" s="395"/>
      <c r="G108" s="1475"/>
      <c r="H108" s="395"/>
      <c r="I108" s="395"/>
      <c r="J108" s="395"/>
      <c r="K108" s="395"/>
      <c r="L108" s="395"/>
      <c r="M108" s="1484"/>
      <c r="N108" s="395"/>
      <c r="O108" s="395"/>
      <c r="P108" s="395"/>
      <c r="Q108" s="395"/>
      <c r="R108" s="395"/>
    </row>
    <row r="109" spans="2:18" x14ac:dyDescent="0.25">
      <c r="B109" s="413"/>
      <c r="C109" s="395"/>
      <c r="D109" s="395"/>
      <c r="E109" s="395"/>
      <c r="F109" s="395"/>
      <c r="G109" s="1475"/>
      <c r="H109" s="395"/>
      <c r="I109" s="395"/>
      <c r="J109" s="395"/>
      <c r="K109" s="395"/>
      <c r="L109" s="395"/>
      <c r="M109" s="1484"/>
      <c r="N109" s="395"/>
      <c r="O109" s="395"/>
      <c r="P109" s="395"/>
      <c r="Q109" s="395"/>
      <c r="R109" s="395"/>
    </row>
    <row r="110" spans="2:18" x14ac:dyDescent="0.25">
      <c r="B110" s="413"/>
      <c r="C110" s="395"/>
      <c r="D110" s="395"/>
      <c r="E110" s="395"/>
      <c r="F110" s="395"/>
      <c r="G110" s="1475"/>
      <c r="H110" s="395"/>
      <c r="I110" s="395"/>
      <c r="J110" s="395"/>
      <c r="K110" s="395"/>
      <c r="L110" s="395"/>
      <c r="M110" s="1484"/>
      <c r="N110" s="395"/>
      <c r="O110" s="395"/>
      <c r="P110" s="395"/>
      <c r="Q110" s="395"/>
      <c r="R110" s="395"/>
    </row>
    <row r="111" spans="2:18" x14ac:dyDescent="0.25">
      <c r="B111" s="413"/>
      <c r="C111" s="395"/>
      <c r="D111" s="395"/>
      <c r="E111" s="395"/>
      <c r="F111" s="395"/>
      <c r="G111" s="1475"/>
      <c r="H111" s="395"/>
      <c r="I111" s="395"/>
      <c r="J111" s="395"/>
      <c r="K111" s="395"/>
      <c r="L111" s="395"/>
      <c r="M111" s="1484"/>
      <c r="N111" s="395"/>
      <c r="O111" s="395"/>
      <c r="P111" s="395"/>
      <c r="Q111" s="395"/>
      <c r="R111" s="395"/>
    </row>
    <row r="112" spans="2:18" x14ac:dyDescent="0.25">
      <c r="B112" s="413"/>
      <c r="C112" s="395"/>
      <c r="D112" s="395"/>
      <c r="E112" s="395"/>
      <c r="F112" s="395"/>
      <c r="G112" s="1475"/>
      <c r="H112" s="395"/>
      <c r="I112" s="395"/>
      <c r="J112" s="395"/>
      <c r="K112" s="395"/>
      <c r="L112" s="395"/>
      <c r="M112" s="1484"/>
      <c r="N112" s="395"/>
      <c r="O112" s="395"/>
      <c r="P112" s="395"/>
      <c r="Q112" s="395"/>
      <c r="R112" s="395"/>
    </row>
    <row r="113" spans="2:18" x14ac:dyDescent="0.25">
      <c r="B113" s="413"/>
      <c r="C113" s="395"/>
      <c r="D113" s="395"/>
      <c r="E113" s="395"/>
      <c r="F113" s="395"/>
      <c r="G113" s="1475"/>
      <c r="H113" s="395"/>
      <c r="I113" s="395"/>
      <c r="J113" s="395"/>
      <c r="K113" s="395"/>
      <c r="L113" s="395"/>
      <c r="M113" s="1484"/>
      <c r="N113" s="395"/>
      <c r="O113" s="395"/>
      <c r="P113" s="395"/>
      <c r="Q113" s="395"/>
      <c r="R113" s="395"/>
    </row>
    <row r="114" spans="2:18" x14ac:dyDescent="0.25">
      <c r="B114" s="413"/>
      <c r="C114" s="395"/>
      <c r="D114" s="395"/>
      <c r="E114" s="395"/>
      <c r="F114" s="395"/>
      <c r="G114" s="1475"/>
      <c r="H114" s="395"/>
      <c r="I114" s="395"/>
      <c r="J114" s="395"/>
      <c r="K114" s="395"/>
      <c r="L114" s="395"/>
      <c r="M114" s="1484"/>
      <c r="N114" s="395"/>
      <c r="O114" s="395"/>
      <c r="P114" s="395"/>
      <c r="Q114" s="395"/>
      <c r="R114" s="395"/>
    </row>
    <row r="115" spans="2:18" x14ac:dyDescent="0.25">
      <c r="B115" s="413"/>
      <c r="C115" s="395"/>
      <c r="D115" s="395"/>
      <c r="E115" s="395"/>
      <c r="F115" s="395"/>
      <c r="G115" s="1475"/>
      <c r="H115" s="395"/>
      <c r="I115" s="395"/>
      <c r="J115" s="395"/>
      <c r="K115" s="395"/>
      <c r="L115" s="395"/>
      <c r="M115" s="1484"/>
      <c r="N115" s="395"/>
      <c r="O115" s="395"/>
      <c r="P115" s="395"/>
      <c r="Q115" s="395"/>
      <c r="R115" s="395"/>
    </row>
    <row r="116" spans="2:18" x14ac:dyDescent="0.25">
      <c r="B116" s="413"/>
      <c r="C116" s="395"/>
      <c r="D116" s="395"/>
      <c r="E116" s="395"/>
      <c r="F116" s="395"/>
      <c r="G116" s="1475"/>
      <c r="H116" s="395"/>
      <c r="I116" s="395"/>
      <c r="J116" s="395"/>
      <c r="K116" s="395"/>
      <c r="L116" s="395"/>
      <c r="M116" s="1484"/>
      <c r="N116" s="395"/>
      <c r="O116" s="395"/>
      <c r="P116" s="395"/>
      <c r="Q116" s="395"/>
      <c r="R116" s="395"/>
    </row>
    <row r="117" spans="2:18" x14ac:dyDescent="0.25">
      <c r="B117" s="413"/>
      <c r="C117" s="395"/>
      <c r="D117" s="395"/>
      <c r="E117" s="395"/>
      <c r="F117" s="395"/>
      <c r="G117" s="1475"/>
      <c r="H117" s="395"/>
      <c r="I117" s="395"/>
      <c r="J117" s="395"/>
      <c r="K117" s="395"/>
      <c r="L117" s="395"/>
      <c r="M117" s="1484"/>
      <c r="N117" s="395"/>
      <c r="O117" s="395"/>
      <c r="P117" s="395"/>
      <c r="Q117" s="395"/>
      <c r="R117" s="395"/>
    </row>
    <row r="118" spans="2:18" x14ac:dyDescent="0.25">
      <c r="B118" s="413"/>
      <c r="C118" s="395"/>
      <c r="D118" s="395"/>
      <c r="E118" s="395"/>
      <c r="F118" s="395"/>
      <c r="G118" s="1475"/>
      <c r="H118" s="395"/>
      <c r="I118" s="395"/>
      <c r="J118" s="395"/>
      <c r="K118" s="395"/>
      <c r="L118" s="395"/>
      <c r="M118" s="1484"/>
      <c r="N118" s="395"/>
      <c r="O118" s="395"/>
      <c r="P118" s="395"/>
      <c r="Q118" s="395"/>
      <c r="R118" s="395"/>
    </row>
    <row r="119" spans="2:18" x14ac:dyDescent="0.25">
      <c r="B119" s="413"/>
      <c r="C119" s="395"/>
      <c r="D119" s="395"/>
      <c r="E119" s="395"/>
      <c r="F119" s="395"/>
      <c r="G119" s="1475"/>
      <c r="H119" s="395"/>
      <c r="I119" s="395"/>
      <c r="J119" s="395"/>
      <c r="K119" s="395"/>
      <c r="L119" s="395"/>
      <c r="M119" s="1484"/>
      <c r="N119" s="395"/>
      <c r="O119" s="395"/>
      <c r="P119" s="395"/>
      <c r="Q119" s="395"/>
      <c r="R119" s="395"/>
    </row>
    <row r="120" spans="2:18" x14ac:dyDescent="0.25">
      <c r="B120" s="413"/>
      <c r="C120" s="395"/>
      <c r="D120" s="395"/>
      <c r="E120" s="395"/>
      <c r="F120" s="395"/>
      <c r="G120" s="1475"/>
      <c r="H120" s="395"/>
      <c r="I120" s="395"/>
      <c r="J120" s="395"/>
      <c r="K120" s="395"/>
      <c r="L120" s="395"/>
      <c r="M120" s="1484"/>
      <c r="N120" s="395"/>
      <c r="O120" s="395"/>
      <c r="P120" s="395"/>
      <c r="Q120" s="395"/>
      <c r="R120" s="395"/>
    </row>
    <row r="121" spans="2:18" x14ac:dyDescent="0.25">
      <c r="B121" s="413"/>
      <c r="C121" s="395"/>
      <c r="D121" s="395"/>
      <c r="E121" s="395"/>
      <c r="F121" s="395"/>
      <c r="G121" s="1475"/>
      <c r="H121" s="395"/>
      <c r="I121" s="395"/>
      <c r="J121" s="395"/>
      <c r="K121" s="395"/>
      <c r="L121" s="395"/>
      <c r="M121" s="1484"/>
      <c r="N121" s="395"/>
      <c r="O121" s="395"/>
      <c r="P121" s="395"/>
      <c r="Q121" s="395"/>
      <c r="R121" s="395"/>
    </row>
    <row r="122" spans="2:18" x14ac:dyDescent="0.25">
      <c r="B122" s="413"/>
      <c r="C122" s="395"/>
      <c r="D122" s="395"/>
      <c r="E122" s="395"/>
      <c r="F122" s="395"/>
      <c r="G122" s="1475"/>
      <c r="H122" s="395"/>
      <c r="I122" s="395"/>
      <c r="J122" s="395"/>
      <c r="K122" s="395"/>
      <c r="L122" s="395"/>
      <c r="M122" s="1484"/>
      <c r="N122" s="395"/>
      <c r="O122" s="395"/>
      <c r="P122" s="395"/>
      <c r="Q122" s="395"/>
      <c r="R122" s="395"/>
    </row>
    <row r="123" spans="2:18" x14ac:dyDescent="0.25">
      <c r="B123" s="413"/>
      <c r="C123" s="395"/>
      <c r="D123" s="395"/>
      <c r="E123" s="395"/>
      <c r="F123" s="395"/>
      <c r="G123" s="1475"/>
      <c r="H123" s="395"/>
      <c r="I123" s="395"/>
      <c r="J123" s="395"/>
      <c r="K123" s="395"/>
      <c r="L123" s="395"/>
      <c r="M123" s="1484"/>
      <c r="N123" s="395"/>
      <c r="O123" s="395"/>
      <c r="P123" s="395"/>
      <c r="Q123" s="395"/>
      <c r="R123" s="395"/>
    </row>
    <row r="124" spans="2:18" x14ac:dyDescent="0.25">
      <c r="B124" s="413"/>
      <c r="C124" s="395"/>
      <c r="D124" s="395"/>
      <c r="E124" s="395"/>
      <c r="F124" s="395"/>
      <c r="G124" s="1475"/>
      <c r="H124" s="395"/>
      <c r="I124" s="395"/>
      <c r="J124" s="395"/>
      <c r="K124" s="395"/>
      <c r="L124" s="395"/>
      <c r="M124" s="1484"/>
      <c r="N124" s="395"/>
      <c r="O124" s="395"/>
      <c r="P124" s="395"/>
      <c r="Q124" s="395"/>
      <c r="R124" s="395"/>
    </row>
    <row r="125" spans="2:18" x14ac:dyDescent="0.25">
      <c r="B125" s="413"/>
      <c r="C125" s="395"/>
      <c r="D125" s="395"/>
      <c r="E125" s="395"/>
      <c r="F125" s="395"/>
      <c r="G125" s="1475"/>
      <c r="H125" s="395"/>
      <c r="I125" s="395"/>
      <c r="J125" s="395"/>
      <c r="K125" s="395"/>
      <c r="L125" s="395"/>
      <c r="M125" s="1484"/>
      <c r="N125" s="395"/>
      <c r="O125" s="395"/>
      <c r="P125" s="395"/>
      <c r="Q125" s="395"/>
      <c r="R125" s="395"/>
    </row>
    <row r="126" spans="2:18" x14ac:dyDescent="0.25">
      <c r="B126" s="413"/>
      <c r="C126" s="395"/>
      <c r="D126" s="395"/>
      <c r="E126" s="395"/>
      <c r="F126" s="395"/>
      <c r="G126" s="1475"/>
      <c r="H126" s="395"/>
      <c r="I126" s="395"/>
      <c r="J126" s="395"/>
      <c r="K126" s="395"/>
      <c r="L126" s="395"/>
      <c r="M126" s="1484"/>
      <c r="N126" s="395"/>
      <c r="O126" s="395"/>
      <c r="P126" s="395"/>
      <c r="Q126" s="395"/>
      <c r="R126" s="395"/>
    </row>
    <row r="127" spans="2:18" x14ac:dyDescent="0.25">
      <c r="B127" s="413"/>
      <c r="C127" s="395"/>
      <c r="D127" s="395"/>
      <c r="E127" s="395"/>
      <c r="F127" s="395"/>
      <c r="G127" s="1475"/>
      <c r="H127" s="395"/>
      <c r="I127" s="395"/>
      <c r="J127" s="395"/>
      <c r="K127" s="395"/>
      <c r="L127" s="395"/>
      <c r="M127" s="1484"/>
      <c r="N127" s="395"/>
      <c r="O127" s="395"/>
      <c r="P127" s="395"/>
      <c r="Q127" s="395"/>
      <c r="R127" s="395"/>
    </row>
    <row r="128" spans="2:18" x14ac:dyDescent="0.25">
      <c r="B128" s="413"/>
      <c r="C128" s="395"/>
      <c r="D128" s="395"/>
      <c r="E128" s="395"/>
      <c r="F128" s="395"/>
      <c r="G128" s="1475"/>
      <c r="H128" s="395"/>
      <c r="I128" s="395"/>
      <c r="J128" s="395"/>
      <c r="K128" s="395"/>
      <c r="L128" s="395"/>
      <c r="M128" s="1484"/>
      <c r="N128" s="395"/>
      <c r="O128" s="395"/>
      <c r="P128" s="395"/>
      <c r="Q128" s="395"/>
      <c r="R128" s="395"/>
    </row>
    <row r="129" spans="2:18" x14ac:dyDescent="0.25">
      <c r="B129" s="413"/>
      <c r="C129" s="395"/>
      <c r="D129" s="395"/>
      <c r="E129" s="395"/>
      <c r="F129" s="395"/>
      <c r="G129" s="1475"/>
      <c r="H129" s="395"/>
      <c r="I129" s="395"/>
      <c r="J129" s="395"/>
      <c r="K129" s="395"/>
      <c r="L129" s="395"/>
      <c r="M129" s="1484"/>
      <c r="N129" s="395"/>
      <c r="O129" s="395"/>
      <c r="P129" s="395"/>
      <c r="Q129" s="395"/>
      <c r="R129" s="395"/>
    </row>
    <row r="130" spans="2:18" x14ac:dyDescent="0.25">
      <c r="B130" s="413"/>
      <c r="C130" s="395"/>
      <c r="D130" s="395"/>
      <c r="E130" s="395"/>
      <c r="F130" s="395"/>
      <c r="G130" s="1475"/>
      <c r="H130" s="395"/>
      <c r="I130" s="395"/>
      <c r="J130" s="395"/>
      <c r="K130" s="395"/>
      <c r="L130" s="395"/>
      <c r="M130" s="1484"/>
      <c r="N130" s="395"/>
      <c r="O130" s="395"/>
      <c r="P130" s="395"/>
      <c r="Q130" s="395"/>
      <c r="R130" s="395"/>
    </row>
    <row r="131" spans="2:18" x14ac:dyDescent="0.25">
      <c r="B131" s="413"/>
      <c r="C131" s="395"/>
      <c r="D131" s="395"/>
      <c r="E131" s="395"/>
      <c r="F131" s="395"/>
      <c r="G131" s="1475"/>
      <c r="H131" s="395"/>
      <c r="I131" s="395"/>
      <c r="J131" s="395"/>
      <c r="K131" s="395"/>
      <c r="L131" s="395"/>
      <c r="M131" s="1484"/>
      <c r="N131" s="395"/>
      <c r="O131" s="395"/>
      <c r="P131" s="395"/>
      <c r="Q131" s="395"/>
      <c r="R131" s="395"/>
    </row>
    <row r="132" spans="2:18" x14ac:dyDescent="0.25">
      <c r="B132" s="413"/>
      <c r="C132" s="395"/>
      <c r="D132" s="395"/>
      <c r="E132" s="395"/>
      <c r="F132" s="395"/>
      <c r="G132" s="1475"/>
      <c r="H132" s="395"/>
      <c r="I132" s="395"/>
      <c r="J132" s="395"/>
      <c r="K132" s="395"/>
      <c r="L132" s="395"/>
      <c r="M132" s="1484"/>
      <c r="N132" s="395"/>
      <c r="O132" s="395"/>
      <c r="P132" s="395"/>
      <c r="Q132" s="395"/>
      <c r="R132" s="395"/>
    </row>
    <row r="133" spans="2:18" x14ac:dyDescent="0.25">
      <c r="B133" s="413"/>
      <c r="C133" s="395"/>
      <c r="D133" s="395"/>
      <c r="E133" s="395"/>
      <c r="F133" s="395"/>
      <c r="G133" s="1475"/>
      <c r="H133" s="395"/>
      <c r="I133" s="395"/>
      <c r="J133" s="395"/>
      <c r="K133" s="395"/>
      <c r="L133" s="395"/>
      <c r="M133" s="1484"/>
      <c r="N133" s="395"/>
      <c r="O133" s="395"/>
      <c r="P133" s="395"/>
      <c r="Q133" s="395"/>
      <c r="R133" s="395"/>
    </row>
    <row r="134" spans="2:18" x14ac:dyDescent="0.25">
      <c r="B134" s="413"/>
      <c r="C134" s="395"/>
      <c r="D134" s="395"/>
      <c r="E134" s="395"/>
      <c r="F134" s="395"/>
      <c r="G134" s="1475"/>
      <c r="H134" s="395"/>
      <c r="I134" s="395"/>
      <c r="J134" s="395"/>
      <c r="K134" s="395"/>
      <c r="L134" s="395"/>
      <c r="M134" s="1484"/>
      <c r="N134" s="395"/>
      <c r="O134" s="395"/>
      <c r="P134" s="395"/>
      <c r="Q134" s="395"/>
      <c r="R134" s="395"/>
    </row>
    <row r="135" spans="2:18" x14ac:dyDescent="0.25">
      <c r="B135" s="413"/>
      <c r="C135" s="395"/>
      <c r="D135" s="395"/>
      <c r="E135" s="395"/>
      <c r="F135" s="395"/>
      <c r="G135" s="1475"/>
      <c r="H135" s="395"/>
      <c r="I135" s="395"/>
      <c r="J135" s="395"/>
      <c r="K135" s="395"/>
      <c r="L135" s="395"/>
      <c r="M135" s="1484"/>
      <c r="N135" s="395"/>
      <c r="O135" s="395"/>
      <c r="P135" s="395"/>
      <c r="Q135" s="395"/>
      <c r="R135" s="395"/>
    </row>
    <row r="136" spans="2:18" x14ac:dyDescent="0.25">
      <c r="B136" s="413"/>
      <c r="C136" s="395"/>
      <c r="D136" s="395"/>
      <c r="E136" s="395"/>
      <c r="F136" s="395"/>
      <c r="G136" s="1475"/>
      <c r="H136" s="395"/>
      <c r="I136" s="395"/>
      <c r="J136" s="395"/>
      <c r="K136" s="395"/>
      <c r="L136" s="395"/>
      <c r="M136" s="1484"/>
      <c r="N136" s="395"/>
      <c r="O136" s="395"/>
      <c r="P136" s="395"/>
      <c r="Q136" s="395"/>
      <c r="R136" s="395"/>
    </row>
    <row r="137" spans="2:18" x14ac:dyDescent="0.25">
      <c r="B137" s="413"/>
      <c r="C137" s="395"/>
      <c r="D137" s="395"/>
      <c r="E137" s="395"/>
      <c r="F137" s="395"/>
      <c r="G137" s="1475"/>
      <c r="H137" s="395"/>
      <c r="I137" s="395"/>
      <c r="J137" s="395"/>
      <c r="K137" s="395"/>
      <c r="L137" s="395"/>
      <c r="M137" s="1484"/>
      <c r="N137" s="395"/>
      <c r="O137" s="395"/>
      <c r="P137" s="395"/>
      <c r="Q137" s="395"/>
      <c r="R137" s="395"/>
    </row>
    <row r="138" spans="2:18" x14ac:dyDescent="0.25">
      <c r="B138" s="413"/>
      <c r="C138" s="395"/>
      <c r="D138" s="395"/>
      <c r="E138" s="395"/>
      <c r="F138" s="395"/>
      <c r="G138" s="1475"/>
      <c r="H138" s="395"/>
      <c r="I138" s="395"/>
      <c r="J138" s="395"/>
      <c r="K138" s="395"/>
      <c r="L138" s="395"/>
      <c r="M138" s="1484"/>
      <c r="N138" s="395"/>
      <c r="O138" s="395"/>
      <c r="P138" s="395"/>
      <c r="Q138" s="395"/>
      <c r="R138" s="395"/>
    </row>
    <row r="139" spans="2:18" x14ac:dyDescent="0.25">
      <c r="B139" s="413"/>
      <c r="C139" s="395"/>
      <c r="D139" s="395"/>
      <c r="E139" s="395"/>
      <c r="F139" s="395"/>
      <c r="G139" s="1475"/>
      <c r="H139" s="395"/>
      <c r="I139" s="395"/>
      <c r="J139" s="395"/>
      <c r="K139" s="395"/>
      <c r="L139" s="395"/>
      <c r="M139" s="1484"/>
      <c r="N139" s="395"/>
      <c r="O139" s="395"/>
      <c r="P139" s="395"/>
      <c r="Q139" s="395"/>
      <c r="R139" s="395"/>
    </row>
    <row r="140" spans="2:18" x14ac:dyDescent="0.25">
      <c r="B140" s="413"/>
      <c r="C140" s="395"/>
      <c r="D140" s="395"/>
      <c r="E140" s="395"/>
      <c r="F140" s="395"/>
      <c r="G140" s="1475"/>
      <c r="H140" s="395"/>
      <c r="I140" s="395"/>
      <c r="J140" s="395"/>
      <c r="K140" s="395"/>
      <c r="L140" s="395"/>
      <c r="M140" s="1484"/>
      <c r="N140" s="395"/>
      <c r="O140" s="395"/>
      <c r="P140" s="395"/>
      <c r="Q140" s="395"/>
      <c r="R140" s="395"/>
    </row>
    <row r="141" spans="2:18" x14ac:dyDescent="0.25">
      <c r="B141" s="413"/>
      <c r="C141" s="395"/>
      <c r="D141" s="395"/>
      <c r="E141" s="395"/>
      <c r="F141" s="395"/>
      <c r="G141" s="1475"/>
      <c r="H141" s="395"/>
      <c r="I141" s="395"/>
      <c r="J141" s="395"/>
      <c r="K141" s="395"/>
      <c r="L141" s="395"/>
      <c r="M141" s="1484"/>
      <c r="N141" s="395"/>
      <c r="O141" s="395"/>
      <c r="P141" s="395"/>
      <c r="Q141" s="395"/>
      <c r="R141" s="395"/>
    </row>
    <row r="142" spans="2:18" x14ac:dyDescent="0.25">
      <c r="B142" s="413"/>
      <c r="C142" s="395"/>
      <c r="D142" s="395"/>
      <c r="E142" s="395"/>
      <c r="F142" s="395"/>
      <c r="G142" s="1475"/>
      <c r="H142" s="395"/>
      <c r="I142" s="395"/>
      <c r="J142" s="395"/>
      <c r="K142" s="395"/>
      <c r="L142" s="395"/>
      <c r="M142" s="1484"/>
      <c r="N142" s="395"/>
      <c r="O142" s="395"/>
      <c r="P142" s="395"/>
      <c r="Q142" s="395"/>
      <c r="R142" s="395"/>
    </row>
    <row r="143" spans="2:18" x14ac:dyDescent="0.25">
      <c r="B143" s="413"/>
      <c r="C143" s="395"/>
      <c r="D143" s="395"/>
      <c r="E143" s="395"/>
      <c r="F143" s="395"/>
      <c r="G143" s="1475"/>
      <c r="H143" s="395"/>
      <c r="I143" s="395"/>
      <c r="J143" s="395"/>
      <c r="K143" s="395"/>
      <c r="L143" s="395"/>
      <c r="M143" s="1484"/>
      <c r="N143" s="395"/>
      <c r="O143" s="395"/>
      <c r="P143" s="395"/>
      <c r="Q143" s="395"/>
      <c r="R143" s="395"/>
    </row>
    <row r="144" spans="2:18" x14ac:dyDescent="0.25">
      <c r="B144" s="413"/>
      <c r="C144" s="395"/>
      <c r="D144" s="395"/>
      <c r="E144" s="395"/>
      <c r="F144" s="395"/>
      <c r="G144" s="1475"/>
      <c r="H144" s="395"/>
      <c r="I144" s="395"/>
      <c r="J144" s="395"/>
      <c r="K144" s="395"/>
      <c r="L144" s="395"/>
      <c r="M144" s="1484"/>
      <c r="N144" s="395"/>
      <c r="O144" s="395"/>
      <c r="P144" s="395"/>
      <c r="Q144" s="395"/>
      <c r="R144" s="395"/>
    </row>
    <row r="145" spans="2:18" x14ac:dyDescent="0.25">
      <c r="B145" s="413"/>
      <c r="C145" s="395"/>
      <c r="D145" s="395"/>
      <c r="E145" s="395"/>
      <c r="F145" s="395"/>
      <c r="G145" s="1475"/>
      <c r="H145" s="395"/>
      <c r="I145" s="395"/>
      <c r="J145" s="395"/>
      <c r="K145" s="395"/>
      <c r="L145" s="395"/>
      <c r="M145" s="1484"/>
      <c r="N145" s="395"/>
      <c r="O145" s="395"/>
      <c r="P145" s="395"/>
      <c r="Q145" s="395"/>
      <c r="R145" s="395"/>
    </row>
    <row r="146" spans="2:18" x14ac:dyDescent="0.25">
      <c r="B146" s="413"/>
      <c r="C146" s="395"/>
      <c r="D146" s="395"/>
      <c r="E146" s="395"/>
      <c r="F146" s="395"/>
      <c r="G146" s="1475"/>
      <c r="H146" s="395"/>
      <c r="I146" s="395"/>
      <c r="J146" s="395"/>
      <c r="K146" s="395"/>
      <c r="L146" s="395"/>
      <c r="M146" s="1484"/>
      <c r="N146" s="395"/>
      <c r="O146" s="395"/>
      <c r="P146" s="395"/>
      <c r="Q146" s="395"/>
      <c r="R146" s="395"/>
    </row>
    <row r="147" spans="2:18" x14ac:dyDescent="0.25">
      <c r="B147" s="413"/>
      <c r="C147" s="395"/>
      <c r="D147" s="395"/>
      <c r="E147" s="395"/>
      <c r="F147" s="395"/>
      <c r="G147" s="1475"/>
      <c r="H147" s="395"/>
      <c r="I147" s="395"/>
      <c r="J147" s="395"/>
      <c r="K147" s="395"/>
      <c r="L147" s="395"/>
      <c r="M147" s="1484"/>
      <c r="N147" s="395"/>
      <c r="O147" s="395"/>
      <c r="P147" s="395"/>
      <c r="Q147" s="395"/>
      <c r="R147" s="395"/>
    </row>
    <row r="148" spans="2:18" x14ac:dyDescent="0.25">
      <c r="B148" s="413"/>
      <c r="C148" s="395"/>
      <c r="D148" s="395"/>
      <c r="E148" s="395"/>
      <c r="F148" s="395"/>
      <c r="G148" s="1475"/>
      <c r="H148" s="395"/>
      <c r="I148" s="395"/>
      <c r="J148" s="395"/>
      <c r="K148" s="395"/>
      <c r="L148" s="395"/>
      <c r="M148" s="1484"/>
      <c r="N148" s="395"/>
      <c r="O148" s="395"/>
      <c r="P148" s="395"/>
      <c r="Q148" s="395"/>
      <c r="R148" s="395"/>
    </row>
    <row r="149" spans="2:18" x14ac:dyDescent="0.25">
      <c r="B149" s="413"/>
      <c r="C149" s="395"/>
      <c r="D149" s="395"/>
      <c r="E149" s="395"/>
      <c r="F149" s="395"/>
      <c r="G149" s="1475"/>
      <c r="H149" s="395"/>
      <c r="I149" s="395"/>
      <c r="J149" s="395"/>
      <c r="K149" s="395"/>
      <c r="L149" s="395"/>
      <c r="M149" s="1484"/>
      <c r="N149" s="395"/>
      <c r="O149" s="395"/>
      <c r="P149" s="395"/>
      <c r="Q149" s="395"/>
      <c r="R149" s="395"/>
    </row>
    <row r="150" spans="2:18" x14ac:dyDescent="0.25">
      <c r="B150" s="413"/>
      <c r="C150" s="395"/>
      <c r="D150" s="395"/>
      <c r="E150" s="395"/>
      <c r="F150" s="395"/>
      <c r="G150" s="1475"/>
      <c r="H150" s="395"/>
      <c r="I150" s="395"/>
      <c r="J150" s="395"/>
      <c r="K150" s="395"/>
      <c r="L150" s="395"/>
      <c r="M150" s="1484"/>
      <c r="N150" s="395"/>
      <c r="O150" s="395"/>
      <c r="P150" s="395"/>
      <c r="Q150" s="395"/>
      <c r="R150" s="395"/>
    </row>
    <row r="151" spans="2:18" x14ac:dyDescent="0.25">
      <c r="B151" s="413"/>
      <c r="C151" s="395"/>
      <c r="D151" s="395"/>
      <c r="E151" s="395"/>
      <c r="F151" s="395"/>
      <c r="G151" s="1475"/>
      <c r="H151" s="395"/>
      <c r="I151" s="395"/>
      <c r="J151" s="395"/>
      <c r="K151" s="395"/>
      <c r="L151" s="395"/>
      <c r="M151" s="1484"/>
      <c r="N151" s="395"/>
      <c r="O151" s="395"/>
      <c r="P151" s="395"/>
      <c r="Q151" s="395"/>
      <c r="R151" s="395"/>
    </row>
    <row r="152" spans="2:18" x14ac:dyDescent="0.25">
      <c r="B152" s="413"/>
      <c r="C152" s="395"/>
      <c r="D152" s="395"/>
      <c r="E152" s="395"/>
      <c r="F152" s="395"/>
      <c r="G152" s="1475"/>
      <c r="H152" s="395"/>
      <c r="I152" s="395"/>
      <c r="J152" s="395"/>
      <c r="K152" s="395"/>
      <c r="L152" s="395"/>
      <c r="M152" s="1484"/>
      <c r="N152" s="395"/>
      <c r="O152" s="395"/>
      <c r="P152" s="395"/>
      <c r="Q152" s="395"/>
      <c r="R152" s="395"/>
    </row>
    <row r="153" spans="2:18" x14ac:dyDescent="0.25">
      <c r="B153" s="413"/>
      <c r="C153" s="395"/>
      <c r="D153" s="395"/>
      <c r="E153" s="395"/>
      <c r="F153" s="395"/>
      <c r="G153" s="1475"/>
      <c r="H153" s="395"/>
      <c r="I153" s="395"/>
      <c r="J153" s="395"/>
      <c r="K153" s="395"/>
      <c r="L153" s="395"/>
      <c r="M153" s="1484"/>
      <c r="N153" s="395"/>
      <c r="O153" s="395"/>
      <c r="P153" s="395"/>
      <c r="Q153" s="395"/>
      <c r="R153" s="395"/>
    </row>
    <row r="154" spans="2:18" x14ac:dyDescent="0.25">
      <c r="B154" s="413"/>
      <c r="C154" s="395"/>
      <c r="D154" s="395"/>
      <c r="E154" s="395"/>
      <c r="F154" s="395"/>
      <c r="G154" s="1475"/>
      <c r="H154" s="395"/>
      <c r="I154" s="395"/>
      <c r="J154" s="395"/>
      <c r="K154" s="395"/>
      <c r="L154" s="395"/>
      <c r="M154" s="1484"/>
      <c r="N154" s="395"/>
      <c r="O154" s="395"/>
      <c r="P154" s="395"/>
      <c r="Q154" s="395"/>
      <c r="R154" s="395"/>
    </row>
    <row r="155" spans="2:18" x14ac:dyDescent="0.25">
      <c r="B155" s="413"/>
      <c r="C155" s="395"/>
      <c r="D155" s="395"/>
      <c r="E155" s="395"/>
      <c r="F155" s="395"/>
      <c r="G155" s="1475"/>
      <c r="H155" s="395"/>
      <c r="I155" s="395"/>
      <c r="J155" s="395"/>
      <c r="K155" s="395"/>
      <c r="L155" s="395"/>
      <c r="M155" s="1484"/>
      <c r="N155" s="395"/>
      <c r="O155" s="395"/>
      <c r="P155" s="395"/>
      <c r="Q155" s="395"/>
      <c r="R155" s="395"/>
    </row>
    <row r="156" spans="2:18" x14ac:dyDescent="0.25">
      <c r="B156" s="413"/>
      <c r="C156" s="395"/>
      <c r="D156" s="395"/>
      <c r="E156" s="395"/>
      <c r="F156" s="395"/>
      <c r="G156" s="1475"/>
      <c r="H156" s="395"/>
      <c r="I156" s="395"/>
      <c r="J156" s="395"/>
      <c r="K156" s="395"/>
      <c r="L156" s="395"/>
      <c r="M156" s="1484"/>
      <c r="N156" s="395"/>
      <c r="O156" s="395"/>
      <c r="P156" s="395"/>
      <c r="Q156" s="395"/>
      <c r="R156" s="395"/>
    </row>
    <row r="157" spans="2:18" x14ac:dyDescent="0.25">
      <c r="B157" s="413"/>
      <c r="C157" s="395"/>
      <c r="D157" s="395"/>
      <c r="E157" s="395"/>
      <c r="F157" s="395"/>
      <c r="G157" s="1475"/>
      <c r="H157" s="395"/>
      <c r="I157" s="395"/>
      <c r="J157" s="395"/>
      <c r="K157" s="395"/>
      <c r="L157" s="395"/>
      <c r="M157" s="1484"/>
      <c r="N157" s="395"/>
      <c r="O157" s="395"/>
      <c r="P157" s="395"/>
      <c r="Q157" s="395"/>
      <c r="R157" s="395"/>
    </row>
    <row r="158" spans="2:18" x14ac:dyDescent="0.25">
      <c r="B158" s="413"/>
      <c r="C158" s="395"/>
      <c r="D158" s="395"/>
      <c r="E158" s="395"/>
      <c r="F158" s="395"/>
      <c r="G158" s="1475"/>
      <c r="H158" s="395"/>
      <c r="I158" s="395"/>
      <c r="J158" s="395"/>
      <c r="K158" s="395"/>
      <c r="L158" s="395"/>
      <c r="M158" s="1484"/>
      <c r="N158" s="395"/>
      <c r="O158" s="395"/>
      <c r="P158" s="395"/>
      <c r="Q158" s="395"/>
      <c r="R158" s="395"/>
    </row>
    <row r="159" spans="2:18" x14ac:dyDescent="0.25">
      <c r="B159" s="413"/>
      <c r="C159" s="395"/>
      <c r="D159" s="395"/>
      <c r="E159" s="395"/>
      <c r="F159" s="395"/>
      <c r="G159" s="1475"/>
      <c r="H159" s="395"/>
      <c r="I159" s="395"/>
      <c r="J159" s="395"/>
      <c r="K159" s="395"/>
      <c r="L159" s="395"/>
      <c r="M159" s="1484"/>
      <c r="N159" s="395"/>
      <c r="O159" s="395"/>
      <c r="P159" s="395"/>
      <c r="Q159" s="395"/>
      <c r="R159" s="395"/>
    </row>
    <row r="160" spans="2:18" x14ac:dyDescent="0.25">
      <c r="B160" s="413"/>
      <c r="C160" s="395"/>
      <c r="D160" s="395"/>
      <c r="E160" s="395"/>
      <c r="F160" s="395"/>
      <c r="G160" s="1475"/>
      <c r="H160" s="395"/>
      <c r="I160" s="395"/>
      <c r="J160" s="395"/>
      <c r="K160" s="395"/>
      <c r="L160" s="395"/>
      <c r="M160" s="1484"/>
      <c r="N160" s="395"/>
      <c r="O160" s="395"/>
      <c r="P160" s="395"/>
      <c r="Q160" s="395"/>
      <c r="R160" s="395"/>
    </row>
    <row r="161" spans="2:18" x14ac:dyDescent="0.25">
      <c r="B161" s="413"/>
      <c r="C161" s="395"/>
      <c r="D161" s="395"/>
      <c r="E161" s="395"/>
      <c r="F161" s="395"/>
      <c r="G161" s="1475"/>
      <c r="H161" s="395"/>
      <c r="I161" s="395"/>
      <c r="J161" s="395"/>
      <c r="K161" s="395"/>
      <c r="L161" s="395"/>
      <c r="M161" s="1484"/>
      <c r="N161" s="395"/>
      <c r="O161" s="395"/>
      <c r="P161" s="395"/>
      <c r="Q161" s="395"/>
      <c r="R161" s="395"/>
    </row>
    <row r="162" spans="2:18" x14ac:dyDescent="0.25">
      <c r="B162" s="413"/>
      <c r="C162" s="395"/>
      <c r="D162" s="395"/>
      <c r="E162" s="395"/>
      <c r="F162" s="395"/>
      <c r="G162" s="1475"/>
      <c r="H162" s="395"/>
      <c r="I162" s="395"/>
      <c r="J162" s="395"/>
      <c r="K162" s="395"/>
      <c r="L162" s="395"/>
      <c r="M162" s="1484"/>
      <c r="N162" s="395"/>
      <c r="O162" s="395"/>
      <c r="P162" s="395"/>
      <c r="Q162" s="395"/>
      <c r="R162" s="395"/>
    </row>
    <row r="163" spans="2:18" x14ac:dyDescent="0.25">
      <c r="B163" s="413"/>
      <c r="C163" s="395"/>
      <c r="D163" s="395"/>
      <c r="E163" s="395"/>
      <c r="F163" s="395"/>
      <c r="G163" s="1475"/>
      <c r="H163" s="395"/>
      <c r="I163" s="395"/>
      <c r="J163" s="395"/>
      <c r="K163" s="395"/>
      <c r="L163" s="395"/>
      <c r="M163" s="1484"/>
      <c r="N163" s="395"/>
      <c r="O163" s="395"/>
      <c r="P163" s="395"/>
      <c r="Q163" s="395"/>
      <c r="R163" s="395"/>
    </row>
    <row r="164" spans="2:18" x14ac:dyDescent="0.25">
      <c r="B164" s="413"/>
      <c r="C164" s="395"/>
      <c r="D164" s="395"/>
      <c r="E164" s="395"/>
      <c r="F164" s="395"/>
      <c r="G164" s="1475"/>
      <c r="H164" s="395"/>
      <c r="I164" s="395"/>
      <c r="J164" s="395"/>
      <c r="K164" s="395"/>
      <c r="L164" s="395"/>
      <c r="M164" s="1484"/>
      <c r="N164" s="395"/>
      <c r="O164" s="395"/>
      <c r="P164" s="395"/>
      <c r="Q164" s="395"/>
      <c r="R164" s="395"/>
    </row>
    <row r="165" spans="2:18" x14ac:dyDescent="0.25">
      <c r="B165" s="413"/>
      <c r="C165" s="395"/>
      <c r="D165" s="395"/>
      <c r="E165" s="395"/>
      <c r="F165" s="395"/>
      <c r="G165" s="1475"/>
      <c r="H165" s="395"/>
      <c r="I165" s="395"/>
      <c r="J165" s="395"/>
      <c r="K165" s="395"/>
      <c r="L165" s="395"/>
      <c r="M165" s="1484"/>
      <c r="N165" s="395"/>
      <c r="O165" s="395"/>
      <c r="P165" s="395"/>
      <c r="Q165" s="395"/>
      <c r="R165" s="395"/>
    </row>
    <row r="166" spans="2:18" x14ac:dyDescent="0.25">
      <c r="B166" s="413"/>
      <c r="C166" s="395"/>
      <c r="D166" s="395"/>
      <c r="E166" s="395"/>
      <c r="F166" s="395"/>
      <c r="G166" s="1475"/>
      <c r="H166" s="395"/>
      <c r="I166" s="395"/>
      <c r="J166" s="395"/>
      <c r="K166" s="395"/>
      <c r="L166" s="395"/>
      <c r="M166" s="1484"/>
      <c r="N166" s="395"/>
      <c r="O166" s="395"/>
      <c r="P166" s="395"/>
      <c r="Q166" s="395"/>
      <c r="R166" s="395"/>
    </row>
    <row r="167" spans="2:18" x14ac:dyDescent="0.25">
      <c r="B167" s="413"/>
      <c r="C167" s="395"/>
      <c r="D167" s="395"/>
      <c r="E167" s="395"/>
      <c r="F167" s="395"/>
      <c r="G167" s="1475"/>
      <c r="H167" s="395"/>
      <c r="I167" s="395"/>
      <c r="J167" s="395"/>
      <c r="K167" s="395"/>
      <c r="L167" s="395"/>
      <c r="M167" s="1484"/>
      <c r="N167" s="395"/>
      <c r="O167" s="395"/>
      <c r="P167" s="395"/>
      <c r="Q167" s="395"/>
      <c r="R167" s="395"/>
    </row>
    <row r="168" spans="2:18" x14ac:dyDescent="0.25">
      <c r="B168" s="413"/>
      <c r="C168" s="395"/>
      <c r="D168" s="395"/>
      <c r="E168" s="395"/>
      <c r="F168" s="395"/>
      <c r="G168" s="1475"/>
      <c r="H168" s="395"/>
      <c r="I168" s="395"/>
      <c r="J168" s="395"/>
      <c r="K168" s="395"/>
      <c r="L168" s="395"/>
      <c r="M168" s="1484"/>
      <c r="N168" s="395"/>
      <c r="O168" s="395"/>
      <c r="P168" s="395"/>
      <c r="Q168" s="395"/>
      <c r="R168" s="395"/>
    </row>
    <row r="169" spans="2:18" x14ac:dyDescent="0.25">
      <c r="B169" s="413"/>
      <c r="C169" s="395"/>
      <c r="D169" s="395"/>
      <c r="E169" s="395"/>
      <c r="F169" s="395"/>
      <c r="G169" s="1475"/>
      <c r="H169" s="395"/>
      <c r="I169" s="395"/>
      <c r="J169" s="395"/>
      <c r="K169" s="395"/>
      <c r="L169" s="395"/>
      <c r="M169" s="1484"/>
      <c r="N169" s="395"/>
      <c r="O169" s="395"/>
      <c r="P169" s="395"/>
      <c r="Q169" s="395"/>
      <c r="R169" s="395"/>
    </row>
    <row r="170" spans="2:18" x14ac:dyDescent="0.25">
      <c r="B170" s="413"/>
      <c r="C170" s="395"/>
      <c r="D170" s="395"/>
      <c r="E170" s="395"/>
      <c r="F170" s="395"/>
      <c r="G170" s="1475"/>
      <c r="H170" s="395"/>
      <c r="I170" s="395"/>
      <c r="J170" s="395"/>
      <c r="K170" s="395"/>
      <c r="L170" s="395"/>
      <c r="M170" s="1484"/>
      <c r="N170" s="395"/>
      <c r="O170" s="395"/>
      <c r="P170" s="395"/>
      <c r="Q170" s="395"/>
      <c r="R170" s="395"/>
    </row>
    <row r="171" spans="2:18" x14ac:dyDescent="0.25">
      <c r="B171" s="413"/>
      <c r="C171" s="395"/>
      <c r="D171" s="395"/>
      <c r="E171" s="395"/>
      <c r="F171" s="395"/>
      <c r="G171" s="1475"/>
      <c r="H171" s="395"/>
      <c r="I171" s="395"/>
      <c r="J171" s="395"/>
      <c r="K171" s="395"/>
      <c r="L171" s="395"/>
      <c r="M171" s="1484"/>
      <c r="N171" s="395"/>
      <c r="O171" s="395"/>
      <c r="P171" s="395"/>
      <c r="Q171" s="395"/>
      <c r="R171" s="395"/>
    </row>
    <row r="172" spans="2:18" x14ac:dyDescent="0.25">
      <c r="B172" s="413"/>
      <c r="C172" s="395"/>
      <c r="D172" s="395"/>
      <c r="E172" s="395"/>
      <c r="F172" s="395"/>
      <c r="G172" s="1475"/>
      <c r="H172" s="395"/>
      <c r="I172" s="395"/>
      <c r="J172" s="395"/>
      <c r="K172" s="395"/>
      <c r="L172" s="395"/>
      <c r="M172" s="1484"/>
      <c r="N172" s="395"/>
      <c r="O172" s="395"/>
      <c r="P172" s="395"/>
      <c r="Q172" s="395"/>
      <c r="R172" s="395"/>
    </row>
    <row r="173" spans="2:18" x14ac:dyDescent="0.25">
      <c r="B173" s="413"/>
      <c r="C173" s="395"/>
      <c r="D173" s="395"/>
      <c r="E173" s="395"/>
      <c r="F173" s="395"/>
      <c r="G173" s="1475"/>
      <c r="H173" s="395"/>
      <c r="I173" s="395"/>
      <c r="J173" s="395"/>
      <c r="K173" s="395"/>
      <c r="L173" s="395"/>
      <c r="M173" s="1484"/>
      <c r="N173" s="395"/>
      <c r="O173" s="395"/>
      <c r="P173" s="395"/>
      <c r="Q173" s="395"/>
      <c r="R173" s="395"/>
    </row>
    <row r="174" spans="2:18" x14ac:dyDescent="0.25">
      <c r="B174" s="413"/>
      <c r="C174" s="395"/>
      <c r="D174" s="395"/>
      <c r="E174" s="395"/>
      <c r="F174" s="395"/>
      <c r="G174" s="1475"/>
      <c r="H174" s="395"/>
      <c r="I174" s="395"/>
      <c r="J174" s="395"/>
      <c r="K174" s="395"/>
      <c r="L174" s="395"/>
      <c r="M174" s="1484"/>
      <c r="N174" s="395"/>
      <c r="O174" s="395"/>
      <c r="P174" s="395"/>
      <c r="Q174" s="395"/>
      <c r="R174" s="395"/>
    </row>
    <row r="175" spans="2:18" x14ac:dyDescent="0.25">
      <c r="B175" s="413"/>
      <c r="C175" s="395"/>
      <c r="D175" s="395"/>
      <c r="E175" s="395"/>
      <c r="F175" s="395"/>
      <c r="G175" s="1475"/>
      <c r="H175" s="395"/>
      <c r="I175" s="395"/>
      <c r="J175" s="395"/>
      <c r="K175" s="395"/>
      <c r="L175" s="395"/>
      <c r="M175" s="1484"/>
      <c r="N175" s="395"/>
      <c r="O175" s="395"/>
      <c r="P175" s="395"/>
      <c r="Q175" s="395"/>
      <c r="R175" s="395"/>
    </row>
    <row r="176" spans="2:18" x14ac:dyDescent="0.25">
      <c r="B176" s="413"/>
      <c r="C176" s="395"/>
      <c r="D176" s="395"/>
      <c r="E176" s="395"/>
      <c r="F176" s="395"/>
      <c r="G176" s="1475"/>
      <c r="H176" s="395"/>
      <c r="I176" s="395"/>
      <c r="J176" s="395"/>
      <c r="K176" s="395"/>
      <c r="L176" s="395"/>
      <c r="M176" s="1484"/>
      <c r="N176" s="395"/>
      <c r="O176" s="395"/>
      <c r="P176" s="395"/>
      <c r="Q176" s="395"/>
      <c r="R176" s="395"/>
    </row>
    <row r="177" spans="2:18" x14ac:dyDescent="0.25">
      <c r="B177" s="413"/>
      <c r="C177" s="395"/>
      <c r="D177" s="395"/>
      <c r="E177" s="395"/>
      <c r="F177" s="395"/>
      <c r="G177" s="1475"/>
      <c r="H177" s="395"/>
      <c r="I177" s="395"/>
      <c r="J177" s="395"/>
      <c r="K177" s="395"/>
      <c r="L177" s="395"/>
      <c r="M177" s="1484"/>
      <c r="N177" s="395"/>
      <c r="O177" s="395"/>
      <c r="P177" s="395"/>
      <c r="Q177" s="395"/>
      <c r="R177" s="395"/>
    </row>
    <row r="178" spans="2:18" x14ac:dyDescent="0.25">
      <c r="B178" s="413"/>
      <c r="C178" s="395"/>
      <c r="D178" s="395"/>
      <c r="E178" s="395"/>
      <c r="F178" s="395"/>
      <c r="G178" s="1475"/>
      <c r="H178" s="395"/>
      <c r="I178" s="395"/>
      <c r="J178" s="395"/>
      <c r="K178" s="395"/>
      <c r="L178" s="395"/>
      <c r="M178" s="1484"/>
      <c r="N178" s="395"/>
      <c r="O178" s="395"/>
      <c r="P178" s="395"/>
      <c r="Q178" s="395"/>
      <c r="R178" s="395"/>
    </row>
    <row r="179" spans="2:18" x14ac:dyDescent="0.25">
      <c r="B179" s="413"/>
      <c r="C179" s="395"/>
      <c r="D179" s="395"/>
      <c r="E179" s="395"/>
      <c r="F179" s="395"/>
      <c r="G179" s="1475"/>
      <c r="H179" s="395"/>
      <c r="I179" s="395"/>
      <c r="J179" s="395"/>
      <c r="K179" s="395"/>
      <c r="L179" s="395"/>
      <c r="M179" s="1484"/>
      <c r="N179" s="395"/>
      <c r="O179" s="395"/>
      <c r="P179" s="395"/>
      <c r="Q179" s="395"/>
      <c r="R179" s="395"/>
    </row>
    <row r="180" spans="2:18" x14ac:dyDescent="0.25">
      <c r="B180" s="413"/>
      <c r="C180" s="395"/>
      <c r="D180" s="395"/>
      <c r="E180" s="395"/>
      <c r="F180" s="395"/>
      <c r="G180" s="1475"/>
      <c r="H180" s="395"/>
      <c r="I180" s="395"/>
      <c r="J180" s="395"/>
      <c r="K180" s="395"/>
      <c r="L180" s="395"/>
      <c r="M180" s="1484"/>
      <c r="N180" s="395"/>
      <c r="O180" s="395"/>
      <c r="P180" s="395"/>
      <c r="Q180" s="395"/>
      <c r="R180" s="395"/>
    </row>
    <row r="181" spans="2:18" x14ac:dyDescent="0.25">
      <c r="B181" s="413"/>
      <c r="C181" s="395"/>
      <c r="D181" s="395"/>
      <c r="E181" s="395"/>
      <c r="F181" s="395"/>
      <c r="G181" s="1475"/>
      <c r="H181" s="395"/>
      <c r="I181" s="395"/>
      <c r="J181" s="395"/>
      <c r="K181" s="395"/>
      <c r="L181" s="395"/>
      <c r="M181" s="1484"/>
      <c r="N181" s="395"/>
      <c r="O181" s="395"/>
      <c r="P181" s="395"/>
      <c r="Q181" s="395"/>
      <c r="R181" s="395"/>
    </row>
    <row r="182" spans="2:18" x14ac:dyDescent="0.25">
      <c r="B182" s="413"/>
      <c r="C182" s="395"/>
      <c r="D182" s="395"/>
      <c r="E182" s="395"/>
      <c r="F182" s="395"/>
      <c r="G182" s="1475"/>
      <c r="H182" s="395"/>
      <c r="I182" s="395"/>
      <c r="J182" s="395"/>
      <c r="K182" s="395"/>
      <c r="L182" s="395"/>
      <c r="M182" s="1484"/>
      <c r="N182" s="395"/>
      <c r="O182" s="395"/>
      <c r="P182" s="395"/>
      <c r="Q182" s="395"/>
      <c r="R182" s="395"/>
    </row>
    <row r="183" spans="2:18" x14ac:dyDescent="0.25">
      <c r="B183" s="413"/>
      <c r="C183" s="395"/>
      <c r="D183" s="395"/>
      <c r="E183" s="395"/>
      <c r="F183" s="395"/>
      <c r="G183" s="1475"/>
      <c r="H183" s="395"/>
      <c r="I183" s="395"/>
      <c r="J183" s="395"/>
      <c r="K183" s="395"/>
      <c r="L183" s="395"/>
      <c r="M183" s="1484"/>
      <c r="N183" s="395"/>
      <c r="O183" s="395"/>
      <c r="P183" s="395"/>
      <c r="Q183" s="395"/>
      <c r="R183" s="395"/>
    </row>
    <row r="184" spans="2:18" x14ac:dyDescent="0.25">
      <c r="B184" s="413"/>
      <c r="C184" s="395"/>
      <c r="D184" s="395"/>
      <c r="E184" s="395"/>
      <c r="F184" s="395"/>
      <c r="G184" s="1475"/>
      <c r="H184" s="395"/>
      <c r="I184" s="395"/>
      <c r="J184" s="395"/>
      <c r="K184" s="395"/>
      <c r="L184" s="395"/>
      <c r="M184" s="1484"/>
      <c r="N184" s="395"/>
      <c r="O184" s="395"/>
      <c r="P184" s="395"/>
      <c r="Q184" s="395"/>
      <c r="R184" s="395"/>
    </row>
    <row r="185" spans="2:18" x14ac:dyDescent="0.25">
      <c r="B185" s="413"/>
      <c r="C185" s="395"/>
      <c r="D185" s="395"/>
      <c r="E185" s="395"/>
      <c r="F185" s="395"/>
      <c r="G185" s="1475"/>
      <c r="H185" s="395"/>
      <c r="I185" s="395"/>
      <c r="J185" s="395"/>
      <c r="K185" s="395"/>
      <c r="L185" s="395"/>
      <c r="M185" s="1484"/>
      <c r="N185" s="395"/>
      <c r="O185" s="395"/>
      <c r="P185" s="395"/>
      <c r="Q185" s="395"/>
      <c r="R185" s="395"/>
    </row>
    <row r="186" spans="2:18" x14ac:dyDescent="0.25">
      <c r="B186" s="413"/>
      <c r="C186" s="395"/>
      <c r="D186" s="395"/>
      <c r="E186" s="395"/>
      <c r="F186" s="395"/>
      <c r="G186" s="1475"/>
      <c r="H186" s="395"/>
      <c r="I186" s="395"/>
      <c r="J186" s="395"/>
      <c r="K186" s="395"/>
      <c r="L186" s="395"/>
      <c r="M186" s="1484"/>
      <c r="N186" s="395"/>
      <c r="O186" s="395"/>
      <c r="P186" s="395"/>
      <c r="Q186" s="395"/>
      <c r="R186" s="395"/>
    </row>
    <row r="187" spans="2:18" x14ac:dyDescent="0.25">
      <c r="B187" s="413"/>
      <c r="C187" s="395"/>
      <c r="D187" s="395"/>
      <c r="E187" s="395"/>
      <c r="F187" s="395"/>
      <c r="G187" s="1475"/>
      <c r="H187" s="395"/>
      <c r="I187" s="395"/>
      <c r="J187" s="395"/>
      <c r="K187" s="395"/>
      <c r="L187" s="395"/>
      <c r="M187" s="1484"/>
      <c r="N187" s="395"/>
      <c r="O187" s="395"/>
      <c r="P187" s="395"/>
      <c r="Q187" s="395"/>
      <c r="R187" s="395"/>
    </row>
    <row r="188" spans="2:18" x14ac:dyDescent="0.25">
      <c r="B188" s="413"/>
      <c r="C188" s="395"/>
      <c r="D188" s="395"/>
      <c r="E188" s="395"/>
      <c r="F188" s="395"/>
      <c r="G188" s="1475"/>
      <c r="H188" s="395"/>
      <c r="I188" s="395"/>
      <c r="J188" s="395"/>
      <c r="K188" s="395"/>
      <c r="L188" s="395"/>
      <c r="M188" s="1484"/>
      <c r="N188" s="395"/>
      <c r="O188" s="395"/>
      <c r="P188" s="395"/>
      <c r="Q188" s="395"/>
      <c r="R188" s="395"/>
    </row>
    <row r="189" spans="2:18" x14ac:dyDescent="0.25">
      <c r="B189" s="413"/>
      <c r="C189" s="395"/>
      <c r="D189" s="395"/>
      <c r="E189" s="395"/>
      <c r="F189" s="395"/>
      <c r="G189" s="1475"/>
      <c r="H189" s="395"/>
      <c r="I189" s="395"/>
      <c r="J189" s="395"/>
      <c r="K189" s="395"/>
      <c r="L189" s="395"/>
      <c r="M189" s="1484"/>
      <c r="N189" s="395"/>
      <c r="O189" s="395"/>
      <c r="P189" s="395"/>
      <c r="Q189" s="395"/>
      <c r="R189" s="395"/>
    </row>
    <row r="190" spans="2:18" x14ac:dyDescent="0.25">
      <c r="B190" s="413"/>
      <c r="C190" s="395"/>
      <c r="D190" s="395"/>
      <c r="E190" s="395"/>
      <c r="F190" s="395"/>
      <c r="G190" s="1475"/>
      <c r="H190" s="395"/>
      <c r="I190" s="395"/>
      <c r="J190" s="395"/>
      <c r="K190" s="395"/>
      <c r="L190" s="395"/>
      <c r="M190" s="1484"/>
      <c r="N190" s="395"/>
      <c r="O190" s="395"/>
      <c r="P190" s="395"/>
      <c r="Q190" s="395"/>
      <c r="R190" s="395"/>
    </row>
    <row r="191" spans="2:18" x14ac:dyDescent="0.25">
      <c r="B191" s="413"/>
      <c r="C191" s="395"/>
      <c r="D191" s="395"/>
      <c r="E191" s="395"/>
      <c r="F191" s="395"/>
      <c r="G191" s="1475"/>
      <c r="H191" s="395"/>
      <c r="I191" s="395"/>
      <c r="J191" s="395"/>
      <c r="K191" s="395"/>
      <c r="L191" s="395"/>
      <c r="M191" s="1484"/>
      <c r="N191" s="395"/>
      <c r="O191" s="395"/>
      <c r="P191" s="395"/>
      <c r="Q191" s="395"/>
      <c r="R191" s="395"/>
    </row>
    <row r="192" spans="2:18" x14ac:dyDescent="0.25">
      <c r="B192" s="413"/>
      <c r="C192" s="395"/>
      <c r="D192" s="395"/>
      <c r="E192" s="395"/>
      <c r="F192" s="395"/>
      <c r="G192" s="1475"/>
      <c r="H192" s="395"/>
      <c r="I192" s="395"/>
      <c r="J192" s="395"/>
      <c r="K192" s="395"/>
      <c r="L192" s="395"/>
      <c r="M192" s="1484"/>
      <c r="N192" s="395"/>
      <c r="O192" s="395"/>
      <c r="P192" s="395"/>
      <c r="Q192" s="395"/>
      <c r="R192" s="395"/>
    </row>
    <row r="193" spans="2:18" x14ac:dyDescent="0.25">
      <c r="B193" s="413"/>
      <c r="C193" s="395"/>
      <c r="D193" s="395"/>
      <c r="E193" s="395"/>
      <c r="F193" s="395"/>
      <c r="G193" s="1475"/>
      <c r="H193" s="395"/>
      <c r="I193" s="395"/>
      <c r="J193" s="395"/>
      <c r="K193" s="395"/>
      <c r="L193" s="395"/>
      <c r="M193" s="1484"/>
      <c r="N193" s="395"/>
      <c r="O193" s="395"/>
      <c r="P193" s="395"/>
      <c r="Q193" s="395"/>
      <c r="R193" s="395"/>
    </row>
    <row r="194" spans="2:18" x14ac:dyDescent="0.25">
      <c r="B194" s="413"/>
      <c r="C194" s="395"/>
      <c r="D194" s="395"/>
      <c r="E194" s="395"/>
      <c r="F194" s="395"/>
      <c r="G194" s="1475"/>
      <c r="H194" s="395"/>
      <c r="I194" s="395"/>
      <c r="J194" s="395"/>
      <c r="K194" s="395"/>
      <c r="L194" s="395"/>
      <c r="M194" s="1484"/>
      <c r="N194" s="395"/>
      <c r="O194" s="395"/>
      <c r="P194" s="395"/>
      <c r="Q194" s="395"/>
      <c r="R194" s="395"/>
    </row>
    <row r="195" spans="2:18" x14ac:dyDescent="0.25">
      <c r="B195" s="413"/>
      <c r="C195" s="395"/>
      <c r="D195" s="395"/>
      <c r="E195" s="395"/>
      <c r="F195" s="395"/>
      <c r="G195" s="1475"/>
      <c r="H195" s="395"/>
      <c r="I195" s="395"/>
      <c r="J195" s="395"/>
      <c r="K195" s="395"/>
      <c r="L195" s="395"/>
      <c r="M195" s="1484"/>
      <c r="N195" s="395"/>
      <c r="O195" s="395"/>
      <c r="P195" s="395"/>
      <c r="Q195" s="395"/>
      <c r="R195" s="395"/>
    </row>
    <row r="196" spans="2:18" x14ac:dyDescent="0.25">
      <c r="B196" s="413"/>
      <c r="C196" s="395"/>
      <c r="D196" s="395"/>
      <c r="E196" s="395"/>
      <c r="F196" s="395"/>
      <c r="G196" s="1475"/>
      <c r="H196" s="395"/>
      <c r="I196" s="395"/>
      <c r="J196" s="395"/>
      <c r="K196" s="395"/>
      <c r="L196" s="395"/>
      <c r="M196" s="1484"/>
      <c r="N196" s="395"/>
      <c r="O196" s="395"/>
      <c r="P196" s="395"/>
      <c r="Q196" s="395"/>
      <c r="R196" s="395"/>
    </row>
    <row r="197" spans="2:18" x14ac:dyDescent="0.25">
      <c r="B197" s="413"/>
      <c r="C197" s="395"/>
      <c r="D197" s="395"/>
      <c r="E197" s="395"/>
      <c r="F197" s="395"/>
      <c r="G197" s="1475"/>
      <c r="H197" s="395"/>
      <c r="I197" s="395"/>
      <c r="J197" s="395"/>
      <c r="K197" s="395"/>
      <c r="L197" s="395"/>
      <c r="M197" s="1484"/>
      <c r="N197" s="395"/>
      <c r="O197" s="395"/>
      <c r="P197" s="395"/>
      <c r="Q197" s="395"/>
      <c r="R197" s="395"/>
    </row>
    <row r="198" spans="2:18" x14ac:dyDescent="0.25">
      <c r="B198" s="413"/>
      <c r="C198" s="395"/>
      <c r="D198" s="395"/>
      <c r="E198" s="395"/>
      <c r="F198" s="395"/>
      <c r="G198" s="1475"/>
      <c r="H198" s="395"/>
      <c r="I198" s="395"/>
      <c r="J198" s="395"/>
      <c r="K198" s="395"/>
      <c r="L198" s="395"/>
      <c r="M198" s="1484"/>
      <c r="N198" s="395"/>
      <c r="O198" s="395"/>
      <c r="P198" s="395"/>
      <c r="Q198" s="395"/>
      <c r="R198" s="395"/>
    </row>
    <row r="199" spans="2:18" x14ac:dyDescent="0.25">
      <c r="B199" s="413"/>
      <c r="C199" s="395"/>
      <c r="D199" s="395"/>
      <c r="E199" s="395"/>
      <c r="F199" s="395"/>
      <c r="G199" s="1475"/>
      <c r="H199" s="395"/>
      <c r="I199" s="395"/>
      <c r="J199" s="395"/>
      <c r="K199" s="395"/>
      <c r="L199" s="395"/>
      <c r="M199" s="1484"/>
      <c r="N199" s="395"/>
      <c r="O199" s="395"/>
      <c r="P199" s="395"/>
      <c r="Q199" s="395"/>
      <c r="R199" s="395"/>
    </row>
    <row r="200" spans="2:18" x14ac:dyDescent="0.25">
      <c r="B200" s="413"/>
      <c r="C200" s="395"/>
      <c r="D200" s="395"/>
      <c r="E200" s="395"/>
      <c r="F200" s="395"/>
      <c r="G200" s="1475"/>
      <c r="H200" s="395"/>
      <c r="I200" s="395"/>
      <c r="J200" s="395"/>
      <c r="K200" s="395"/>
      <c r="L200" s="395"/>
      <c r="M200" s="1484"/>
      <c r="N200" s="395"/>
      <c r="O200" s="395"/>
      <c r="P200" s="395"/>
      <c r="Q200" s="395"/>
      <c r="R200" s="395"/>
    </row>
    <row r="201" spans="2:18" x14ac:dyDescent="0.25">
      <c r="B201" s="413"/>
      <c r="C201" s="395"/>
      <c r="D201" s="395"/>
      <c r="E201" s="395"/>
      <c r="F201" s="395"/>
      <c r="G201" s="1475"/>
      <c r="H201" s="395"/>
      <c r="I201" s="395"/>
      <c r="J201" s="395"/>
      <c r="K201" s="395"/>
      <c r="L201" s="395"/>
      <c r="M201" s="1484"/>
      <c r="N201" s="395"/>
      <c r="O201" s="395"/>
      <c r="P201" s="395"/>
      <c r="Q201" s="395"/>
      <c r="R201" s="395"/>
    </row>
    <row r="202" spans="2:18" x14ac:dyDescent="0.25">
      <c r="B202" s="413"/>
      <c r="C202" s="395"/>
      <c r="D202" s="395"/>
      <c r="E202" s="395"/>
      <c r="F202" s="395"/>
      <c r="G202" s="1475"/>
      <c r="H202" s="395"/>
      <c r="I202" s="395"/>
      <c r="J202" s="395"/>
      <c r="K202" s="395"/>
      <c r="L202" s="395"/>
      <c r="M202" s="1484"/>
      <c r="N202" s="395"/>
      <c r="O202" s="395"/>
      <c r="P202" s="395"/>
      <c r="Q202" s="395"/>
      <c r="R202" s="395"/>
    </row>
    <row r="203" spans="2:18" x14ac:dyDescent="0.25">
      <c r="B203" s="413"/>
      <c r="C203" s="395"/>
      <c r="D203" s="395"/>
      <c r="E203" s="395"/>
      <c r="F203" s="395"/>
      <c r="G203" s="1475"/>
      <c r="H203" s="395"/>
      <c r="I203" s="395"/>
      <c r="J203" s="395"/>
      <c r="K203" s="395"/>
      <c r="L203" s="395"/>
      <c r="M203" s="1484"/>
      <c r="N203" s="395"/>
      <c r="O203" s="395"/>
      <c r="P203" s="395"/>
      <c r="Q203" s="395"/>
      <c r="R203" s="395"/>
    </row>
    <row r="204" spans="2:18" x14ac:dyDescent="0.25">
      <c r="B204" s="413"/>
      <c r="C204" s="395"/>
      <c r="D204" s="395"/>
      <c r="E204" s="395"/>
      <c r="F204" s="395"/>
      <c r="G204" s="1475"/>
      <c r="H204" s="395"/>
      <c r="I204" s="395"/>
      <c r="J204" s="395"/>
      <c r="K204" s="395"/>
      <c r="L204" s="395"/>
      <c r="M204" s="1484"/>
      <c r="N204" s="395"/>
      <c r="O204" s="395"/>
      <c r="P204" s="395"/>
      <c r="Q204" s="395"/>
      <c r="R204" s="395"/>
    </row>
    <row r="205" spans="2:18" x14ac:dyDescent="0.25">
      <c r="B205" s="413"/>
      <c r="C205" s="395"/>
      <c r="D205" s="395"/>
      <c r="E205" s="395"/>
      <c r="F205" s="395"/>
      <c r="G205" s="1475"/>
      <c r="H205" s="395"/>
      <c r="I205" s="395"/>
      <c r="J205" s="395"/>
      <c r="K205" s="395"/>
      <c r="L205" s="395"/>
      <c r="M205" s="1484"/>
      <c r="N205" s="395"/>
      <c r="O205" s="395"/>
      <c r="P205" s="395"/>
      <c r="Q205" s="395"/>
      <c r="R205" s="395"/>
    </row>
    <row r="206" spans="2:18" x14ac:dyDescent="0.25">
      <c r="B206" s="413"/>
      <c r="C206" s="395"/>
      <c r="D206" s="395"/>
      <c r="E206" s="395"/>
      <c r="F206" s="395"/>
      <c r="G206" s="1475"/>
      <c r="H206" s="395"/>
      <c r="I206" s="395"/>
      <c r="J206" s="395"/>
      <c r="K206" s="395"/>
      <c r="L206" s="395"/>
      <c r="M206" s="1484"/>
      <c r="N206" s="395"/>
      <c r="O206" s="395"/>
      <c r="P206" s="395"/>
      <c r="Q206" s="395"/>
      <c r="R206" s="395"/>
    </row>
    <row r="207" spans="2:18" x14ac:dyDescent="0.25">
      <c r="B207" s="413"/>
      <c r="C207" s="395"/>
      <c r="D207" s="395"/>
      <c r="E207" s="395"/>
      <c r="F207" s="395"/>
      <c r="G207" s="1475"/>
      <c r="H207" s="395"/>
      <c r="I207" s="395"/>
      <c r="J207" s="395"/>
      <c r="K207" s="395"/>
      <c r="L207" s="395"/>
      <c r="M207" s="1484"/>
      <c r="N207" s="395"/>
      <c r="O207" s="395"/>
      <c r="P207" s="395"/>
      <c r="Q207" s="395"/>
      <c r="R207" s="395"/>
    </row>
    <row r="208" spans="2:18" x14ac:dyDescent="0.25">
      <c r="B208" s="413"/>
      <c r="C208" s="395"/>
      <c r="D208" s="395"/>
      <c r="E208" s="395"/>
      <c r="F208" s="395"/>
      <c r="G208" s="1475"/>
      <c r="H208" s="395"/>
      <c r="I208" s="395"/>
      <c r="J208" s="395"/>
      <c r="K208" s="395"/>
      <c r="L208" s="395"/>
      <c r="M208" s="1484"/>
      <c r="N208" s="395"/>
      <c r="O208" s="395"/>
      <c r="P208" s="395"/>
      <c r="Q208" s="395"/>
      <c r="R208" s="395"/>
    </row>
    <row r="209" spans="2:18" x14ac:dyDescent="0.25">
      <c r="B209" s="413"/>
      <c r="C209" s="395"/>
      <c r="D209" s="395"/>
      <c r="E209" s="395"/>
      <c r="F209" s="395"/>
      <c r="G209" s="1475"/>
      <c r="H209" s="395"/>
      <c r="I209" s="395"/>
      <c r="J209" s="395"/>
      <c r="K209" s="395"/>
      <c r="L209" s="395"/>
      <c r="M209" s="1484"/>
      <c r="N209" s="395"/>
      <c r="O209" s="395"/>
      <c r="P209" s="395"/>
      <c r="Q209" s="395"/>
      <c r="R209" s="395"/>
    </row>
    <row r="210" spans="2:18" x14ac:dyDescent="0.25">
      <c r="B210" s="413"/>
      <c r="C210" s="395"/>
      <c r="D210" s="395"/>
      <c r="E210" s="395"/>
      <c r="F210" s="395"/>
      <c r="G210" s="1475"/>
      <c r="H210" s="395"/>
      <c r="I210" s="395"/>
      <c r="J210" s="395"/>
      <c r="K210" s="395"/>
      <c r="L210" s="395"/>
      <c r="M210" s="1484"/>
      <c r="N210" s="395"/>
      <c r="O210" s="395"/>
      <c r="P210" s="395"/>
      <c r="Q210" s="395"/>
      <c r="R210" s="395"/>
    </row>
    <row r="211" spans="2:18" x14ac:dyDescent="0.25">
      <c r="B211" s="413"/>
      <c r="C211" s="395"/>
      <c r="D211" s="395"/>
      <c r="E211" s="395"/>
      <c r="F211" s="395"/>
      <c r="G211" s="1475"/>
      <c r="H211" s="395"/>
      <c r="I211" s="395"/>
      <c r="J211" s="395"/>
      <c r="K211" s="395"/>
      <c r="L211" s="395"/>
      <c r="M211" s="1484"/>
      <c r="N211" s="395"/>
      <c r="O211" s="395"/>
      <c r="P211" s="395"/>
      <c r="Q211" s="395"/>
      <c r="R211" s="395"/>
    </row>
    <row r="212" spans="2:18" x14ac:dyDescent="0.25">
      <c r="B212" s="413"/>
      <c r="C212" s="395"/>
      <c r="D212" s="395"/>
      <c r="E212" s="395"/>
      <c r="F212" s="395"/>
      <c r="G212" s="1475"/>
      <c r="H212" s="395"/>
      <c r="I212" s="395"/>
      <c r="J212" s="395"/>
      <c r="K212" s="395"/>
      <c r="L212" s="395"/>
      <c r="M212" s="1484"/>
      <c r="N212" s="395"/>
      <c r="O212" s="395"/>
      <c r="P212" s="395"/>
      <c r="Q212" s="395"/>
      <c r="R212" s="395"/>
    </row>
    <row r="213" spans="2:18" x14ac:dyDescent="0.25">
      <c r="B213" s="413"/>
      <c r="C213" s="395"/>
      <c r="D213" s="395"/>
      <c r="E213" s="395"/>
      <c r="F213" s="395"/>
      <c r="G213" s="1475"/>
      <c r="H213" s="395"/>
      <c r="I213" s="395"/>
      <c r="J213" s="395"/>
      <c r="K213" s="395"/>
      <c r="L213" s="395"/>
      <c r="M213" s="1484"/>
      <c r="N213" s="395"/>
      <c r="O213" s="395"/>
      <c r="P213" s="395"/>
      <c r="Q213" s="395"/>
      <c r="R213" s="395"/>
    </row>
    <row r="214" spans="2:18" x14ac:dyDescent="0.25">
      <c r="B214" s="413"/>
      <c r="C214" s="395"/>
      <c r="D214" s="395"/>
      <c r="E214" s="395"/>
      <c r="F214" s="395"/>
      <c r="G214" s="1475"/>
      <c r="H214" s="395"/>
      <c r="I214" s="395"/>
      <c r="J214" s="395"/>
      <c r="K214" s="395"/>
      <c r="L214" s="395"/>
      <c r="M214" s="1484"/>
      <c r="N214" s="395"/>
      <c r="O214" s="395"/>
      <c r="P214" s="395"/>
      <c r="Q214" s="395"/>
      <c r="R214" s="395"/>
    </row>
    <row r="215" spans="2:18" x14ac:dyDescent="0.25">
      <c r="B215" s="413"/>
      <c r="C215" s="395"/>
      <c r="D215" s="395"/>
      <c r="E215" s="395"/>
      <c r="F215" s="395"/>
      <c r="G215" s="1475"/>
      <c r="H215" s="395"/>
      <c r="I215" s="395"/>
      <c r="J215" s="395"/>
      <c r="K215" s="395"/>
      <c r="L215" s="395"/>
      <c r="M215" s="1484"/>
      <c r="N215" s="395"/>
      <c r="O215" s="395"/>
      <c r="P215" s="395"/>
      <c r="Q215" s="395"/>
      <c r="R215" s="395"/>
    </row>
    <row r="216" spans="2:18" x14ac:dyDescent="0.25">
      <c r="B216" s="413"/>
      <c r="C216" s="395"/>
      <c r="D216" s="395"/>
      <c r="E216" s="395"/>
      <c r="F216" s="395"/>
      <c r="G216" s="1475"/>
      <c r="H216" s="395"/>
      <c r="I216" s="395"/>
      <c r="J216" s="395"/>
      <c r="K216" s="395"/>
      <c r="L216" s="395"/>
      <c r="M216" s="1484"/>
      <c r="N216" s="395"/>
      <c r="O216" s="395"/>
      <c r="P216" s="395"/>
      <c r="Q216" s="395"/>
      <c r="R216" s="395"/>
    </row>
    <row r="217" spans="2:18" x14ac:dyDescent="0.25">
      <c r="B217" s="413"/>
      <c r="C217" s="395"/>
      <c r="D217" s="395"/>
      <c r="E217" s="395"/>
      <c r="F217" s="395"/>
      <c r="G217" s="1475"/>
      <c r="H217" s="395"/>
      <c r="I217" s="395"/>
      <c r="J217" s="395"/>
      <c r="K217" s="395"/>
      <c r="L217" s="395"/>
      <c r="M217" s="1484"/>
      <c r="N217" s="395"/>
      <c r="O217" s="395"/>
      <c r="P217" s="395"/>
      <c r="Q217" s="395"/>
      <c r="R217" s="395"/>
    </row>
    <row r="218" spans="2:18" x14ac:dyDescent="0.25">
      <c r="B218" s="413"/>
      <c r="C218" s="395"/>
      <c r="D218" s="395"/>
      <c r="E218" s="395"/>
      <c r="F218" s="395"/>
      <c r="G218" s="1475"/>
      <c r="H218" s="395"/>
      <c r="I218" s="395"/>
      <c r="J218" s="395"/>
      <c r="K218" s="395"/>
      <c r="L218" s="395"/>
      <c r="M218" s="1484"/>
      <c r="N218" s="395"/>
      <c r="O218" s="395"/>
      <c r="P218" s="395"/>
      <c r="Q218" s="395"/>
      <c r="R218" s="395"/>
    </row>
    <row r="219" spans="2:18" x14ac:dyDescent="0.25">
      <c r="B219" s="413"/>
      <c r="C219" s="395"/>
      <c r="D219" s="395"/>
      <c r="E219" s="395"/>
      <c r="F219" s="395"/>
      <c r="G219" s="1475"/>
      <c r="H219" s="395"/>
      <c r="I219" s="395"/>
      <c r="J219" s="395"/>
      <c r="K219" s="395"/>
      <c r="L219" s="395"/>
      <c r="M219" s="1484"/>
      <c r="N219" s="395"/>
      <c r="O219" s="395"/>
      <c r="P219" s="395"/>
      <c r="Q219" s="395"/>
      <c r="R219" s="395"/>
    </row>
    <row r="220" spans="2:18" x14ac:dyDescent="0.25">
      <c r="B220" s="413"/>
      <c r="C220" s="395"/>
      <c r="D220" s="395"/>
      <c r="E220" s="395"/>
      <c r="F220" s="395"/>
      <c r="G220" s="1475"/>
      <c r="H220" s="395"/>
      <c r="I220" s="395"/>
      <c r="J220" s="395"/>
      <c r="K220" s="395"/>
      <c r="L220" s="395"/>
      <c r="M220" s="1484"/>
      <c r="N220" s="395"/>
      <c r="O220" s="395"/>
      <c r="P220" s="395"/>
      <c r="Q220" s="395"/>
      <c r="R220" s="395"/>
    </row>
    <row r="221" spans="2:18" x14ac:dyDescent="0.25">
      <c r="B221" s="413"/>
      <c r="C221" s="395"/>
      <c r="D221" s="395"/>
      <c r="E221" s="395"/>
      <c r="F221" s="395"/>
      <c r="G221" s="1475"/>
      <c r="H221" s="395"/>
      <c r="I221" s="395"/>
      <c r="J221" s="395"/>
      <c r="K221" s="395"/>
      <c r="L221" s="395"/>
      <c r="M221" s="1484"/>
      <c r="N221" s="395"/>
      <c r="O221" s="395"/>
      <c r="P221" s="395"/>
      <c r="Q221" s="395"/>
      <c r="R221" s="395"/>
    </row>
    <row r="222" spans="2:18" x14ac:dyDescent="0.25">
      <c r="B222" s="413"/>
      <c r="C222" s="395"/>
      <c r="D222" s="395"/>
      <c r="E222" s="395"/>
      <c r="F222" s="395"/>
      <c r="G222" s="1475"/>
      <c r="H222" s="395"/>
      <c r="I222" s="395"/>
      <c r="J222" s="395"/>
      <c r="K222" s="395"/>
      <c r="L222" s="395"/>
      <c r="M222" s="1484"/>
      <c r="N222" s="395"/>
      <c r="O222" s="395"/>
      <c r="P222" s="395"/>
      <c r="Q222" s="395"/>
      <c r="R222" s="395"/>
    </row>
    <row r="223" spans="2:18" x14ac:dyDescent="0.25">
      <c r="B223" s="413"/>
      <c r="C223" s="395"/>
      <c r="D223" s="395"/>
      <c r="E223" s="395"/>
      <c r="F223" s="395"/>
      <c r="G223" s="1475"/>
      <c r="H223" s="395"/>
      <c r="I223" s="395"/>
      <c r="J223" s="395"/>
      <c r="K223" s="395"/>
      <c r="L223" s="395"/>
      <c r="M223" s="1484"/>
      <c r="N223" s="395"/>
      <c r="O223" s="395"/>
      <c r="P223" s="395"/>
      <c r="Q223" s="395"/>
      <c r="R223" s="395"/>
    </row>
    <row r="224" spans="2:18" x14ac:dyDescent="0.25">
      <c r="B224" s="413"/>
      <c r="C224" s="395"/>
      <c r="D224" s="395"/>
      <c r="E224" s="395"/>
      <c r="F224" s="395"/>
      <c r="G224" s="1475"/>
      <c r="H224" s="395"/>
      <c r="I224" s="395"/>
      <c r="J224" s="395"/>
      <c r="K224" s="395"/>
      <c r="L224" s="395"/>
      <c r="M224" s="1484"/>
      <c r="N224" s="395"/>
      <c r="O224" s="395"/>
      <c r="P224" s="395"/>
      <c r="Q224" s="395"/>
      <c r="R224" s="395"/>
    </row>
    <row r="225" spans="2:18" x14ac:dyDescent="0.25">
      <c r="B225" s="413"/>
      <c r="C225" s="395"/>
      <c r="D225" s="395"/>
      <c r="E225" s="395"/>
      <c r="F225" s="395"/>
      <c r="G225" s="1475"/>
      <c r="H225" s="395"/>
      <c r="I225" s="395"/>
      <c r="J225" s="395"/>
      <c r="K225" s="395"/>
      <c r="L225" s="395"/>
      <c r="M225" s="1484"/>
      <c r="N225" s="395"/>
      <c r="O225" s="395"/>
      <c r="P225" s="395"/>
      <c r="Q225" s="395"/>
      <c r="R225" s="395"/>
    </row>
    <row r="226" spans="2:18" x14ac:dyDescent="0.25">
      <c r="B226" s="413"/>
      <c r="C226" s="395"/>
      <c r="D226" s="395"/>
      <c r="E226" s="395"/>
      <c r="F226" s="395"/>
      <c r="G226" s="1475"/>
      <c r="H226" s="395"/>
      <c r="I226" s="395"/>
      <c r="J226" s="395"/>
      <c r="K226" s="395"/>
      <c r="L226" s="395"/>
      <c r="M226" s="1484"/>
      <c r="N226" s="395"/>
      <c r="O226" s="395"/>
      <c r="P226" s="395"/>
      <c r="Q226" s="395"/>
      <c r="R226" s="395"/>
    </row>
    <row r="227" spans="2:18" x14ac:dyDescent="0.25">
      <c r="B227" s="413"/>
      <c r="C227" s="395"/>
      <c r="D227" s="395"/>
      <c r="E227" s="395"/>
      <c r="F227" s="395"/>
      <c r="G227" s="1475"/>
      <c r="H227" s="395"/>
      <c r="I227" s="395"/>
      <c r="J227" s="395"/>
      <c r="K227" s="395"/>
      <c r="L227" s="395"/>
      <c r="M227" s="1484"/>
      <c r="N227" s="395"/>
      <c r="O227" s="395"/>
      <c r="P227" s="395"/>
      <c r="Q227" s="395"/>
      <c r="R227" s="395"/>
    </row>
    <row r="228" spans="2:18" x14ac:dyDescent="0.25">
      <c r="B228" s="413"/>
      <c r="C228" s="395"/>
      <c r="D228" s="395"/>
      <c r="E228" s="395"/>
      <c r="F228" s="395"/>
      <c r="G228" s="1475"/>
      <c r="H228" s="395"/>
      <c r="I228" s="395"/>
      <c r="J228" s="395"/>
      <c r="K228" s="395"/>
      <c r="L228" s="395"/>
      <c r="M228" s="1484"/>
      <c r="N228" s="395"/>
      <c r="O228" s="395"/>
      <c r="P228" s="395"/>
      <c r="Q228" s="395"/>
      <c r="R228" s="395"/>
    </row>
    <row r="229" spans="2:18" x14ac:dyDescent="0.25">
      <c r="B229" s="413"/>
      <c r="C229" s="395"/>
      <c r="D229" s="395"/>
      <c r="E229" s="395"/>
      <c r="F229" s="395"/>
      <c r="G229" s="1475"/>
      <c r="H229" s="395"/>
      <c r="I229" s="395"/>
      <c r="J229" s="395"/>
      <c r="K229" s="395"/>
      <c r="L229" s="395"/>
      <c r="M229" s="1484"/>
      <c r="N229" s="395"/>
      <c r="O229" s="395"/>
      <c r="P229" s="395"/>
      <c r="Q229" s="395"/>
      <c r="R229" s="395"/>
    </row>
    <row r="230" spans="2:18" x14ac:dyDescent="0.25">
      <c r="B230" s="413"/>
      <c r="C230" s="395"/>
      <c r="D230" s="395"/>
      <c r="E230" s="395"/>
      <c r="F230" s="395"/>
      <c r="G230" s="1475"/>
      <c r="H230" s="395"/>
      <c r="I230" s="395"/>
      <c r="J230" s="395"/>
      <c r="K230" s="395"/>
      <c r="L230" s="395"/>
      <c r="M230" s="1484"/>
      <c r="N230" s="395"/>
      <c r="O230" s="395"/>
      <c r="P230" s="395"/>
      <c r="Q230" s="395"/>
      <c r="R230" s="395"/>
    </row>
    <row r="231" spans="2:18" x14ac:dyDescent="0.25">
      <c r="B231" s="413"/>
      <c r="C231" s="395"/>
      <c r="D231" s="395"/>
      <c r="E231" s="395"/>
      <c r="F231" s="395"/>
      <c r="G231" s="1475"/>
      <c r="H231" s="395"/>
      <c r="I231" s="395"/>
      <c r="J231" s="395"/>
      <c r="K231" s="395"/>
      <c r="L231" s="395"/>
      <c r="M231" s="1484"/>
      <c r="N231" s="395"/>
      <c r="O231" s="395"/>
      <c r="P231" s="395"/>
      <c r="Q231" s="395"/>
      <c r="R231" s="395"/>
    </row>
    <row r="232" spans="2:18" x14ac:dyDescent="0.25">
      <c r="B232" s="413"/>
      <c r="C232" s="395"/>
      <c r="D232" s="395"/>
      <c r="E232" s="395"/>
      <c r="F232" s="395"/>
      <c r="G232" s="1475"/>
      <c r="H232" s="395"/>
      <c r="I232" s="395"/>
      <c r="J232" s="395"/>
      <c r="K232" s="395"/>
      <c r="L232" s="395"/>
      <c r="M232" s="1484"/>
      <c r="N232" s="395"/>
      <c r="O232" s="395"/>
      <c r="P232" s="395"/>
      <c r="Q232" s="395"/>
      <c r="R232" s="395"/>
    </row>
    <row r="233" spans="2:18" x14ac:dyDescent="0.25">
      <c r="B233" s="413"/>
      <c r="C233" s="395"/>
      <c r="D233" s="395"/>
      <c r="E233" s="395"/>
      <c r="F233" s="395"/>
      <c r="G233" s="1475"/>
      <c r="H233" s="395"/>
      <c r="I233" s="395"/>
      <c r="J233" s="395"/>
      <c r="K233" s="395"/>
      <c r="L233" s="395"/>
      <c r="M233" s="1484"/>
      <c r="N233" s="395"/>
      <c r="O233" s="395"/>
      <c r="P233" s="395"/>
      <c r="Q233" s="395"/>
      <c r="R233" s="395"/>
    </row>
    <row r="234" spans="2:18" x14ac:dyDescent="0.25">
      <c r="B234" s="413"/>
      <c r="C234" s="395"/>
      <c r="D234" s="395"/>
      <c r="E234" s="395"/>
      <c r="F234" s="395"/>
      <c r="G234" s="1475"/>
      <c r="H234" s="395"/>
      <c r="I234" s="395"/>
      <c r="J234" s="395"/>
      <c r="K234" s="395"/>
      <c r="L234" s="395"/>
      <c r="M234" s="1484"/>
      <c r="N234" s="395"/>
      <c r="O234" s="395"/>
      <c r="P234" s="395"/>
      <c r="Q234" s="395"/>
      <c r="R234" s="395"/>
    </row>
    <row r="235" spans="2:18" x14ac:dyDescent="0.25">
      <c r="B235" s="413"/>
      <c r="C235" s="395"/>
      <c r="D235" s="395"/>
      <c r="E235" s="395"/>
      <c r="F235" s="395"/>
      <c r="G235" s="1475"/>
      <c r="H235" s="395"/>
      <c r="I235" s="395"/>
      <c r="J235" s="395"/>
      <c r="K235" s="395"/>
      <c r="L235" s="395"/>
      <c r="M235" s="1484"/>
      <c r="N235" s="395"/>
      <c r="O235" s="395"/>
      <c r="P235" s="395"/>
      <c r="Q235" s="395"/>
      <c r="R235" s="395"/>
    </row>
    <row r="236" spans="2:18" x14ac:dyDescent="0.25">
      <c r="B236" s="413"/>
      <c r="C236" s="395"/>
      <c r="D236" s="395"/>
      <c r="E236" s="395"/>
      <c r="F236" s="395"/>
      <c r="G236" s="1475"/>
      <c r="H236" s="395"/>
      <c r="I236" s="395"/>
      <c r="J236" s="395"/>
      <c r="K236" s="395"/>
      <c r="L236" s="395"/>
      <c r="M236" s="1484"/>
      <c r="N236" s="395"/>
      <c r="O236" s="395"/>
      <c r="P236" s="395"/>
      <c r="Q236" s="395"/>
      <c r="R236" s="395"/>
    </row>
    <row r="237" spans="2:18" x14ac:dyDescent="0.25">
      <c r="B237" s="413"/>
      <c r="C237" s="395"/>
      <c r="D237" s="395"/>
      <c r="E237" s="395"/>
      <c r="F237" s="395"/>
      <c r="G237" s="1475"/>
      <c r="H237" s="395"/>
      <c r="I237" s="395"/>
      <c r="J237" s="395"/>
      <c r="K237" s="395"/>
      <c r="L237" s="395"/>
      <c r="M237" s="1484"/>
      <c r="N237" s="395"/>
      <c r="O237" s="395"/>
      <c r="P237" s="395"/>
      <c r="Q237" s="395"/>
      <c r="R237" s="395"/>
    </row>
    <row r="238" spans="2:18" x14ac:dyDescent="0.25">
      <c r="B238" s="413"/>
      <c r="C238" s="395"/>
      <c r="D238" s="395"/>
      <c r="E238" s="395"/>
      <c r="F238" s="395"/>
      <c r="G238" s="1475"/>
      <c r="H238" s="395"/>
      <c r="I238" s="395"/>
      <c r="J238" s="395"/>
      <c r="K238" s="395"/>
      <c r="L238" s="395"/>
      <c r="M238" s="1484"/>
      <c r="N238" s="395"/>
      <c r="O238" s="395"/>
      <c r="P238" s="395"/>
      <c r="Q238" s="395"/>
      <c r="R238" s="395"/>
    </row>
    <row r="239" spans="2:18" x14ac:dyDescent="0.25">
      <c r="B239" s="413"/>
      <c r="C239" s="395"/>
      <c r="D239" s="395"/>
      <c r="E239" s="395"/>
      <c r="F239" s="395"/>
      <c r="G239" s="1475"/>
      <c r="H239" s="395"/>
      <c r="I239" s="395"/>
      <c r="J239" s="395"/>
      <c r="K239" s="395"/>
      <c r="L239" s="395"/>
      <c r="M239" s="1484"/>
      <c r="N239" s="395"/>
      <c r="O239" s="395"/>
      <c r="P239" s="395"/>
      <c r="Q239" s="395"/>
      <c r="R239" s="395"/>
    </row>
    <row r="240" spans="2:18" x14ac:dyDescent="0.25">
      <c r="B240" s="413"/>
      <c r="C240" s="395"/>
      <c r="D240" s="395"/>
      <c r="E240" s="395"/>
      <c r="F240" s="395"/>
      <c r="G240" s="1475"/>
      <c r="H240" s="395"/>
      <c r="I240" s="395"/>
      <c r="J240" s="395"/>
      <c r="K240" s="395"/>
      <c r="L240" s="395"/>
      <c r="M240" s="1484"/>
      <c r="N240" s="395"/>
      <c r="O240" s="395"/>
      <c r="P240" s="395"/>
      <c r="Q240" s="395"/>
      <c r="R240" s="395"/>
    </row>
    <row r="241" spans="2:18" x14ac:dyDescent="0.25">
      <c r="B241" s="413"/>
      <c r="C241" s="395"/>
      <c r="D241" s="395"/>
      <c r="E241" s="395"/>
      <c r="F241" s="395"/>
      <c r="G241" s="1475"/>
      <c r="H241" s="395"/>
      <c r="I241" s="395"/>
      <c r="J241" s="395"/>
      <c r="K241" s="395"/>
      <c r="L241" s="395"/>
      <c r="M241" s="1484"/>
      <c r="N241" s="395"/>
      <c r="O241" s="395"/>
      <c r="P241" s="395"/>
      <c r="Q241" s="395"/>
      <c r="R241" s="395"/>
    </row>
    <row r="242" spans="2:18" x14ac:dyDescent="0.25">
      <c r="B242" s="413"/>
      <c r="C242" s="395"/>
      <c r="D242" s="395"/>
      <c r="E242" s="395"/>
      <c r="F242" s="395"/>
      <c r="G242" s="1475"/>
      <c r="H242" s="395"/>
      <c r="I242" s="395"/>
      <c r="J242" s="395"/>
      <c r="K242" s="395"/>
      <c r="L242" s="395"/>
      <c r="M242" s="1484"/>
      <c r="N242" s="395"/>
      <c r="O242" s="395"/>
      <c r="P242" s="395"/>
      <c r="Q242" s="395"/>
      <c r="R242" s="395"/>
    </row>
    <row r="243" spans="2:18" x14ac:dyDescent="0.25">
      <c r="B243" s="413"/>
      <c r="C243" s="395"/>
      <c r="D243" s="395"/>
      <c r="E243" s="395"/>
      <c r="F243" s="395"/>
      <c r="G243" s="1475"/>
      <c r="H243" s="395"/>
      <c r="I243" s="395"/>
      <c r="J243" s="395"/>
      <c r="K243" s="395"/>
      <c r="L243" s="395"/>
      <c r="M243" s="1484"/>
      <c r="N243" s="395"/>
      <c r="O243" s="395"/>
      <c r="P243" s="395"/>
      <c r="Q243" s="395"/>
      <c r="R243" s="395"/>
    </row>
    <row r="244" spans="2:18" x14ac:dyDescent="0.25">
      <c r="B244" s="413"/>
      <c r="C244" s="395"/>
      <c r="D244" s="395"/>
      <c r="E244" s="395"/>
      <c r="F244" s="395"/>
      <c r="G244" s="1475"/>
      <c r="H244" s="395"/>
      <c r="I244" s="395"/>
      <c r="J244" s="395"/>
      <c r="K244" s="395"/>
      <c r="L244" s="395"/>
      <c r="M244" s="1484"/>
      <c r="N244" s="395"/>
      <c r="O244" s="395"/>
      <c r="P244" s="395"/>
      <c r="Q244" s="395"/>
      <c r="R244" s="395"/>
    </row>
    <row r="245" spans="2:18" x14ac:dyDescent="0.25">
      <c r="B245" s="413"/>
      <c r="C245" s="395"/>
      <c r="D245" s="395"/>
      <c r="E245" s="395"/>
      <c r="F245" s="395"/>
      <c r="G245" s="1475"/>
      <c r="H245" s="395"/>
      <c r="I245" s="395"/>
      <c r="J245" s="395"/>
      <c r="K245" s="395"/>
      <c r="L245" s="395"/>
      <c r="M245" s="1484"/>
      <c r="N245" s="395"/>
      <c r="O245" s="395"/>
      <c r="P245" s="395"/>
      <c r="Q245" s="395"/>
      <c r="R245" s="395"/>
    </row>
    <row r="246" spans="2:18" x14ac:dyDescent="0.25">
      <c r="B246" s="413"/>
      <c r="C246" s="395"/>
      <c r="D246" s="395"/>
      <c r="E246" s="395"/>
      <c r="F246" s="395"/>
      <c r="G246" s="1475"/>
      <c r="H246" s="395"/>
      <c r="I246" s="395"/>
      <c r="J246" s="395"/>
      <c r="K246" s="395"/>
      <c r="L246" s="395"/>
      <c r="M246" s="1484"/>
      <c r="N246" s="395"/>
      <c r="O246" s="395"/>
      <c r="P246" s="395"/>
      <c r="Q246" s="395"/>
      <c r="R246" s="395"/>
    </row>
    <row r="247" spans="2:18" x14ac:dyDescent="0.25">
      <c r="B247" s="413"/>
      <c r="C247" s="395"/>
      <c r="D247" s="395"/>
      <c r="E247" s="395"/>
      <c r="F247" s="395"/>
      <c r="G247" s="1475"/>
      <c r="H247" s="395"/>
      <c r="I247" s="395"/>
      <c r="J247" s="395"/>
      <c r="K247" s="395"/>
      <c r="L247" s="395"/>
      <c r="M247" s="1484"/>
      <c r="N247" s="395"/>
      <c r="O247" s="395"/>
      <c r="P247" s="395"/>
      <c r="Q247" s="395"/>
      <c r="R247" s="395"/>
    </row>
    <row r="248" spans="2:18" x14ac:dyDescent="0.25">
      <c r="B248" s="413"/>
      <c r="C248" s="395"/>
      <c r="D248" s="395"/>
      <c r="E248" s="395"/>
      <c r="F248" s="395"/>
      <c r="G248" s="1475"/>
      <c r="H248" s="395"/>
      <c r="I248" s="395"/>
      <c r="J248" s="395"/>
      <c r="K248" s="395"/>
      <c r="L248" s="395"/>
      <c r="M248" s="1484"/>
      <c r="N248" s="395"/>
      <c r="O248" s="395"/>
      <c r="P248" s="395"/>
      <c r="Q248" s="395"/>
      <c r="R248" s="395"/>
    </row>
    <row r="249" spans="2:18" x14ac:dyDescent="0.25">
      <c r="B249" s="413"/>
      <c r="C249" s="395"/>
      <c r="D249" s="395"/>
      <c r="E249" s="395"/>
      <c r="F249" s="395"/>
      <c r="G249" s="1475"/>
      <c r="H249" s="395"/>
      <c r="I249" s="395"/>
      <c r="J249" s="395"/>
      <c r="K249" s="395"/>
      <c r="L249" s="395"/>
      <c r="M249" s="1484"/>
      <c r="N249" s="395"/>
      <c r="O249" s="395"/>
      <c r="P249" s="395"/>
      <c r="Q249" s="395"/>
      <c r="R249" s="395"/>
    </row>
    <row r="250" spans="2:18" x14ac:dyDescent="0.25">
      <c r="B250" s="413"/>
      <c r="C250" s="395"/>
      <c r="D250" s="395"/>
      <c r="E250" s="395"/>
      <c r="F250" s="395"/>
      <c r="G250" s="1475"/>
      <c r="H250" s="395"/>
      <c r="I250" s="395"/>
      <c r="J250" s="395"/>
      <c r="K250" s="395"/>
      <c r="L250" s="395"/>
      <c r="M250" s="1484"/>
      <c r="N250" s="395"/>
      <c r="O250" s="395"/>
      <c r="P250" s="395"/>
      <c r="Q250" s="395"/>
      <c r="R250" s="395"/>
    </row>
    <row r="251" spans="2:18" x14ac:dyDescent="0.25">
      <c r="B251" s="413"/>
      <c r="C251" s="395"/>
      <c r="D251" s="395"/>
      <c r="E251" s="395"/>
      <c r="F251" s="395"/>
      <c r="G251" s="1475"/>
      <c r="H251" s="395"/>
      <c r="I251" s="395"/>
      <c r="J251" s="395"/>
      <c r="K251" s="395"/>
      <c r="L251" s="395"/>
      <c r="M251" s="1484"/>
      <c r="N251" s="395"/>
      <c r="O251" s="395"/>
      <c r="P251" s="395"/>
      <c r="Q251" s="395"/>
      <c r="R251" s="395"/>
    </row>
    <row r="252" spans="2:18" x14ac:dyDescent="0.25">
      <c r="B252" s="413"/>
      <c r="C252" s="395"/>
      <c r="D252" s="395"/>
      <c r="E252" s="395"/>
      <c r="F252" s="395"/>
      <c r="G252" s="1475"/>
      <c r="H252" s="395"/>
      <c r="I252" s="395"/>
      <c r="J252" s="395"/>
      <c r="K252" s="395"/>
      <c r="L252" s="395"/>
      <c r="M252" s="1484"/>
      <c r="N252" s="395"/>
      <c r="O252" s="395"/>
      <c r="P252" s="395"/>
      <c r="Q252" s="395"/>
      <c r="R252" s="395"/>
    </row>
    <row r="253" spans="2:18" x14ac:dyDescent="0.25">
      <c r="B253" s="413"/>
      <c r="C253" s="395"/>
      <c r="D253" s="395"/>
      <c r="E253" s="395"/>
      <c r="F253" s="395"/>
      <c r="G253" s="1475"/>
      <c r="H253" s="395"/>
      <c r="I253" s="395"/>
      <c r="J253" s="395"/>
      <c r="K253" s="395"/>
      <c r="L253" s="395"/>
      <c r="M253" s="1484"/>
      <c r="N253" s="395"/>
      <c r="O253" s="395"/>
      <c r="P253" s="395"/>
      <c r="Q253" s="395"/>
      <c r="R253" s="395"/>
    </row>
    <row r="254" spans="2:18" x14ac:dyDescent="0.25">
      <c r="B254" s="413"/>
      <c r="C254" s="395"/>
      <c r="D254" s="395"/>
      <c r="E254" s="395"/>
      <c r="F254" s="395"/>
      <c r="G254" s="1475"/>
      <c r="H254" s="395"/>
      <c r="I254" s="395"/>
      <c r="J254" s="395"/>
      <c r="K254" s="395"/>
      <c r="L254" s="395"/>
      <c r="M254" s="1484"/>
      <c r="N254" s="395"/>
      <c r="O254" s="395"/>
      <c r="P254" s="395"/>
      <c r="Q254" s="395"/>
      <c r="R254" s="395"/>
    </row>
    <row r="255" spans="2:18" x14ac:dyDescent="0.25">
      <c r="B255" s="413"/>
      <c r="C255" s="395"/>
      <c r="D255" s="395"/>
      <c r="E255" s="395"/>
      <c r="F255" s="395"/>
      <c r="G255" s="1475"/>
      <c r="H255" s="395"/>
      <c r="I255" s="395"/>
      <c r="J255" s="395"/>
      <c r="K255" s="395"/>
      <c r="L255" s="395"/>
      <c r="M255" s="1484"/>
      <c r="N255" s="395"/>
      <c r="O255" s="395"/>
      <c r="P255" s="395"/>
      <c r="Q255" s="395"/>
      <c r="R255" s="395"/>
    </row>
    <row r="256" spans="2:18" x14ac:dyDescent="0.25">
      <c r="B256" s="413"/>
      <c r="C256" s="395"/>
      <c r="D256" s="395"/>
      <c r="E256" s="395"/>
      <c r="F256" s="395"/>
      <c r="G256" s="1475"/>
      <c r="H256" s="395"/>
      <c r="I256" s="395"/>
      <c r="J256" s="395"/>
      <c r="K256" s="395"/>
      <c r="L256" s="395"/>
      <c r="M256" s="1484"/>
      <c r="N256" s="395"/>
      <c r="O256" s="395"/>
      <c r="P256" s="395"/>
      <c r="Q256" s="395"/>
      <c r="R256" s="395"/>
    </row>
    <row r="257" spans="2:18" x14ac:dyDescent="0.25">
      <c r="B257" s="413"/>
      <c r="C257" s="395"/>
      <c r="D257" s="395"/>
      <c r="E257" s="395"/>
      <c r="F257" s="395"/>
      <c r="G257" s="1475"/>
      <c r="H257" s="395"/>
      <c r="I257" s="395"/>
      <c r="J257" s="395"/>
      <c r="K257" s="395"/>
      <c r="L257" s="395"/>
      <c r="M257" s="1484"/>
      <c r="N257" s="395"/>
      <c r="O257" s="395"/>
      <c r="P257" s="395"/>
      <c r="Q257" s="395"/>
      <c r="R257" s="395"/>
    </row>
    <row r="258" spans="2:18" x14ac:dyDescent="0.25">
      <c r="B258" s="413"/>
      <c r="C258" s="395"/>
      <c r="D258" s="395"/>
      <c r="E258" s="395"/>
      <c r="F258" s="395"/>
      <c r="G258" s="1475"/>
      <c r="H258" s="395"/>
      <c r="I258" s="395"/>
      <c r="J258" s="395"/>
      <c r="K258" s="395"/>
      <c r="L258" s="395"/>
      <c r="M258" s="1484"/>
      <c r="N258" s="395"/>
      <c r="O258" s="395"/>
      <c r="P258" s="395"/>
      <c r="Q258" s="395"/>
      <c r="R258" s="395"/>
    </row>
    <row r="259" spans="2:18" x14ac:dyDescent="0.25">
      <c r="B259" s="413"/>
      <c r="C259" s="395"/>
      <c r="D259" s="395"/>
      <c r="E259" s="395"/>
      <c r="F259" s="395"/>
      <c r="G259" s="1475"/>
      <c r="H259" s="395"/>
      <c r="I259" s="395"/>
      <c r="J259" s="395"/>
      <c r="K259" s="395"/>
      <c r="L259" s="395"/>
      <c r="M259" s="1484"/>
      <c r="N259" s="395"/>
      <c r="O259" s="395"/>
      <c r="P259" s="395"/>
      <c r="Q259" s="395"/>
      <c r="R259" s="395"/>
    </row>
    <row r="260" spans="2:18" x14ac:dyDescent="0.25">
      <c r="B260" s="413"/>
      <c r="C260" s="395"/>
      <c r="D260" s="395"/>
      <c r="E260" s="395"/>
      <c r="F260" s="395"/>
      <c r="G260" s="1475"/>
      <c r="H260" s="395"/>
      <c r="I260" s="395"/>
      <c r="J260" s="395"/>
      <c r="K260" s="395"/>
      <c r="L260" s="395"/>
      <c r="M260" s="1484"/>
      <c r="N260" s="395"/>
      <c r="O260" s="395"/>
      <c r="P260" s="395"/>
      <c r="Q260" s="395"/>
      <c r="R260" s="395"/>
    </row>
    <row r="261" spans="2:18" x14ac:dyDescent="0.25">
      <c r="B261" s="413"/>
      <c r="C261" s="395"/>
      <c r="D261" s="395"/>
      <c r="E261" s="395"/>
      <c r="F261" s="395"/>
      <c r="G261" s="1475"/>
      <c r="H261" s="395"/>
      <c r="I261" s="395"/>
      <c r="J261" s="395"/>
      <c r="K261" s="395"/>
      <c r="L261" s="395"/>
      <c r="M261" s="1484"/>
      <c r="N261" s="395"/>
      <c r="O261" s="395"/>
      <c r="P261" s="395"/>
      <c r="Q261" s="395"/>
      <c r="R261" s="395"/>
    </row>
    <row r="262" spans="2:18" x14ac:dyDescent="0.25">
      <c r="B262" s="413"/>
      <c r="C262" s="395"/>
      <c r="D262" s="395"/>
      <c r="E262" s="395"/>
      <c r="F262" s="395"/>
      <c r="G262" s="1475"/>
      <c r="H262" s="395"/>
      <c r="I262" s="395"/>
      <c r="J262" s="395"/>
      <c r="K262" s="395"/>
      <c r="L262" s="395"/>
      <c r="M262" s="1484"/>
      <c r="N262" s="395"/>
      <c r="O262" s="395"/>
      <c r="P262" s="395"/>
      <c r="Q262" s="395"/>
      <c r="R262" s="395"/>
    </row>
    <row r="263" spans="2:18" x14ac:dyDescent="0.25">
      <c r="B263" s="413"/>
      <c r="C263" s="395"/>
      <c r="D263" s="395"/>
      <c r="E263" s="395"/>
      <c r="F263" s="395"/>
      <c r="G263" s="1475"/>
      <c r="H263" s="395"/>
      <c r="I263" s="395"/>
      <c r="J263" s="395"/>
      <c r="K263" s="395"/>
      <c r="L263" s="395"/>
      <c r="M263" s="1484"/>
      <c r="N263" s="395"/>
      <c r="O263" s="395"/>
      <c r="P263" s="395"/>
      <c r="Q263" s="395"/>
      <c r="R263" s="395"/>
    </row>
    <row r="264" spans="2:18" x14ac:dyDescent="0.25">
      <c r="B264" s="413"/>
      <c r="C264" s="395"/>
      <c r="D264" s="395"/>
      <c r="E264" s="395"/>
      <c r="F264" s="395"/>
      <c r="G264" s="1475"/>
      <c r="H264" s="395"/>
      <c r="I264" s="395"/>
      <c r="J264" s="395"/>
      <c r="K264" s="395"/>
      <c r="L264" s="395"/>
      <c r="M264" s="1484"/>
      <c r="N264" s="395"/>
      <c r="O264" s="395"/>
      <c r="P264" s="395"/>
      <c r="Q264" s="395"/>
      <c r="R264" s="395"/>
    </row>
    <row r="265" spans="2:18" x14ac:dyDescent="0.25">
      <c r="B265" s="413"/>
      <c r="C265" s="395"/>
      <c r="D265" s="395"/>
      <c r="E265" s="395"/>
      <c r="F265" s="395"/>
      <c r="G265" s="1475"/>
      <c r="H265" s="395"/>
      <c r="I265" s="395"/>
      <c r="J265" s="395"/>
      <c r="K265" s="395"/>
      <c r="L265" s="395"/>
      <c r="M265" s="1484"/>
      <c r="N265" s="395"/>
      <c r="O265" s="395"/>
      <c r="P265" s="395"/>
      <c r="Q265" s="395"/>
      <c r="R265" s="395"/>
    </row>
    <row r="266" spans="2:18" x14ac:dyDescent="0.25">
      <c r="B266" s="413"/>
      <c r="C266" s="395"/>
      <c r="D266" s="395"/>
      <c r="E266" s="395"/>
      <c r="F266" s="395"/>
      <c r="G266" s="1475"/>
      <c r="H266" s="395"/>
      <c r="I266" s="395"/>
      <c r="J266" s="395"/>
      <c r="K266" s="395"/>
      <c r="L266" s="395"/>
      <c r="M266" s="1484"/>
      <c r="N266" s="395"/>
      <c r="O266" s="395"/>
      <c r="P266" s="395"/>
      <c r="Q266" s="395"/>
      <c r="R266" s="395"/>
    </row>
    <row r="267" spans="2:18" x14ac:dyDescent="0.25">
      <c r="B267" s="413"/>
      <c r="C267" s="395"/>
      <c r="D267" s="395"/>
      <c r="E267" s="395"/>
      <c r="F267" s="395"/>
      <c r="G267" s="1475"/>
      <c r="H267" s="395"/>
      <c r="I267" s="395"/>
      <c r="J267" s="395"/>
      <c r="K267" s="395"/>
      <c r="L267" s="395"/>
      <c r="M267" s="1484"/>
      <c r="N267" s="395"/>
      <c r="O267" s="395"/>
      <c r="P267" s="395"/>
      <c r="Q267" s="395"/>
      <c r="R267" s="395"/>
    </row>
    <row r="268" spans="2:18" x14ac:dyDescent="0.25">
      <c r="B268" s="413"/>
      <c r="C268" s="395"/>
      <c r="D268" s="395"/>
      <c r="E268" s="395"/>
      <c r="F268" s="395"/>
      <c r="G268" s="1475"/>
      <c r="H268" s="395"/>
      <c r="I268" s="395"/>
      <c r="J268" s="395"/>
      <c r="K268" s="395"/>
      <c r="L268" s="395"/>
      <c r="M268" s="1484"/>
      <c r="N268" s="395"/>
      <c r="O268" s="395"/>
      <c r="P268" s="395"/>
      <c r="Q268" s="395"/>
      <c r="R268" s="395"/>
    </row>
    <row r="269" spans="2:18" x14ac:dyDescent="0.25">
      <c r="B269" s="413"/>
      <c r="C269" s="395"/>
      <c r="D269" s="395"/>
      <c r="E269" s="395"/>
      <c r="F269" s="395"/>
      <c r="G269" s="1475"/>
      <c r="H269" s="395"/>
      <c r="I269" s="395"/>
      <c r="J269" s="395"/>
      <c r="K269" s="395"/>
      <c r="L269" s="395"/>
      <c r="M269" s="1484"/>
      <c r="N269" s="395"/>
      <c r="O269" s="395"/>
      <c r="P269" s="395"/>
      <c r="Q269" s="395"/>
      <c r="R269" s="395"/>
    </row>
    <row r="270" spans="2:18" x14ac:dyDescent="0.25">
      <c r="B270" s="413"/>
      <c r="C270" s="395"/>
      <c r="D270" s="395"/>
      <c r="E270" s="395"/>
      <c r="F270" s="395"/>
      <c r="G270" s="1475"/>
      <c r="H270" s="395"/>
      <c r="I270" s="395"/>
      <c r="J270" s="395"/>
      <c r="K270" s="395"/>
      <c r="L270" s="395"/>
      <c r="M270" s="1484"/>
      <c r="N270" s="395"/>
      <c r="O270" s="395"/>
      <c r="P270" s="395"/>
      <c r="Q270" s="395"/>
      <c r="R270" s="395"/>
    </row>
    <row r="271" spans="2:18" x14ac:dyDescent="0.25">
      <c r="B271" s="413"/>
      <c r="C271" s="395"/>
      <c r="D271" s="395"/>
      <c r="E271" s="395"/>
      <c r="F271" s="395"/>
      <c r="G271" s="1475"/>
      <c r="H271" s="395"/>
      <c r="I271" s="395"/>
      <c r="J271" s="395"/>
      <c r="K271" s="395"/>
      <c r="L271" s="395"/>
      <c r="M271" s="1484"/>
      <c r="N271" s="395"/>
      <c r="O271" s="395"/>
      <c r="P271" s="395"/>
      <c r="Q271" s="395"/>
      <c r="R271" s="395"/>
    </row>
    <row r="272" spans="2:18" x14ac:dyDescent="0.25">
      <c r="B272" s="413"/>
      <c r="C272" s="395"/>
      <c r="D272" s="395"/>
      <c r="E272" s="395"/>
      <c r="F272" s="395"/>
      <c r="G272" s="1475"/>
      <c r="H272" s="395"/>
      <c r="I272" s="395"/>
      <c r="J272" s="395"/>
      <c r="K272" s="395"/>
      <c r="L272" s="395"/>
      <c r="M272" s="1484"/>
      <c r="N272" s="395"/>
      <c r="O272" s="395"/>
      <c r="P272" s="395"/>
      <c r="Q272" s="395"/>
      <c r="R272" s="395"/>
    </row>
    <row r="273" spans="2:18" x14ac:dyDescent="0.25">
      <c r="B273" s="413"/>
      <c r="C273" s="395"/>
      <c r="D273" s="395"/>
      <c r="E273" s="395"/>
      <c r="F273" s="395"/>
      <c r="G273" s="1475"/>
      <c r="H273" s="395"/>
      <c r="I273" s="395"/>
      <c r="J273" s="395"/>
      <c r="K273" s="395"/>
      <c r="L273" s="395"/>
      <c r="M273" s="1484"/>
      <c r="N273" s="395"/>
      <c r="O273" s="395"/>
      <c r="P273" s="395"/>
      <c r="Q273" s="395"/>
      <c r="R273" s="395"/>
    </row>
    <row r="274" spans="2:18" x14ac:dyDescent="0.25">
      <c r="B274" s="413"/>
      <c r="C274" s="395"/>
      <c r="D274" s="395"/>
      <c r="E274" s="395"/>
      <c r="F274" s="395"/>
      <c r="G274" s="1475"/>
      <c r="H274" s="395"/>
      <c r="I274" s="395"/>
      <c r="J274" s="395"/>
      <c r="K274" s="395"/>
      <c r="L274" s="395"/>
      <c r="M274" s="1484"/>
      <c r="N274" s="395"/>
      <c r="O274" s="395"/>
      <c r="P274" s="395"/>
      <c r="Q274" s="395"/>
      <c r="R274" s="395"/>
    </row>
    <row r="275" spans="2:18" x14ac:dyDescent="0.25">
      <c r="B275" s="413"/>
      <c r="C275" s="395"/>
      <c r="D275" s="395"/>
      <c r="E275" s="395"/>
      <c r="F275" s="395"/>
      <c r="G275" s="1475"/>
      <c r="H275" s="395"/>
      <c r="I275" s="395"/>
      <c r="J275" s="395"/>
      <c r="K275" s="395"/>
      <c r="L275" s="395"/>
      <c r="M275" s="1484"/>
      <c r="N275" s="395"/>
      <c r="O275" s="395"/>
      <c r="P275" s="395"/>
      <c r="Q275" s="395"/>
      <c r="R275" s="395"/>
    </row>
    <row r="276" spans="2:18" x14ac:dyDescent="0.25">
      <c r="B276" s="413"/>
      <c r="C276" s="395"/>
      <c r="D276" s="395"/>
      <c r="E276" s="395"/>
      <c r="F276" s="395"/>
      <c r="G276" s="1475"/>
      <c r="H276" s="395"/>
      <c r="I276" s="395"/>
      <c r="J276" s="395"/>
      <c r="K276" s="395"/>
      <c r="L276" s="395"/>
      <c r="M276" s="1484"/>
      <c r="N276" s="395"/>
      <c r="O276" s="395"/>
      <c r="P276" s="395"/>
      <c r="Q276" s="395"/>
      <c r="R276" s="395"/>
    </row>
    <row r="277" spans="2:18" x14ac:dyDescent="0.25">
      <c r="B277" s="413"/>
      <c r="C277" s="395"/>
      <c r="D277" s="395"/>
      <c r="E277" s="395"/>
      <c r="F277" s="395"/>
      <c r="G277" s="1475"/>
      <c r="H277" s="395"/>
      <c r="I277" s="395"/>
      <c r="J277" s="395"/>
      <c r="K277" s="395"/>
      <c r="L277" s="395"/>
      <c r="M277" s="1484"/>
      <c r="N277" s="395"/>
      <c r="O277" s="395"/>
      <c r="P277" s="395"/>
      <c r="Q277" s="395"/>
      <c r="R277" s="395"/>
    </row>
    <row r="278" spans="2:18" x14ac:dyDescent="0.25">
      <c r="B278" s="413"/>
      <c r="C278" s="395"/>
      <c r="D278" s="395"/>
      <c r="E278" s="395"/>
      <c r="F278" s="395"/>
      <c r="G278" s="1475"/>
      <c r="H278" s="395"/>
      <c r="I278" s="395"/>
      <c r="J278" s="395"/>
      <c r="K278" s="395"/>
      <c r="L278" s="395"/>
      <c r="M278" s="1484"/>
      <c r="N278" s="395"/>
      <c r="O278" s="395"/>
      <c r="P278" s="395"/>
      <c r="Q278" s="395"/>
      <c r="R278" s="395"/>
    </row>
    <row r="279" spans="2:18" x14ac:dyDescent="0.25">
      <c r="B279" s="413"/>
      <c r="C279" s="395"/>
      <c r="D279" s="395"/>
      <c r="E279" s="395"/>
      <c r="F279" s="395"/>
      <c r="G279" s="1475"/>
      <c r="H279" s="395"/>
      <c r="I279" s="395"/>
      <c r="J279" s="395"/>
      <c r="K279" s="395"/>
      <c r="L279" s="395"/>
      <c r="M279" s="1484"/>
      <c r="N279" s="395"/>
      <c r="O279" s="395"/>
      <c r="P279" s="395"/>
      <c r="Q279" s="395"/>
      <c r="R279" s="395"/>
    </row>
    <row r="280" spans="2:18" x14ac:dyDescent="0.25">
      <c r="B280" s="413"/>
      <c r="C280" s="395"/>
      <c r="D280" s="395"/>
      <c r="E280" s="395"/>
      <c r="F280" s="395"/>
      <c r="G280" s="1475"/>
      <c r="H280" s="395"/>
      <c r="I280" s="395"/>
      <c r="J280" s="395"/>
      <c r="K280" s="395"/>
      <c r="L280" s="395"/>
      <c r="M280" s="1484"/>
      <c r="N280" s="395"/>
      <c r="O280" s="395"/>
      <c r="P280" s="395"/>
      <c r="Q280" s="395"/>
      <c r="R280" s="395"/>
    </row>
    <row r="281" spans="2:18" x14ac:dyDescent="0.25">
      <c r="B281" s="413"/>
      <c r="C281" s="395"/>
      <c r="D281" s="395"/>
      <c r="E281" s="395"/>
      <c r="F281" s="395"/>
      <c r="G281" s="1475"/>
      <c r="H281" s="395"/>
      <c r="I281" s="395"/>
      <c r="J281" s="395"/>
      <c r="K281" s="395"/>
      <c r="L281" s="395"/>
      <c r="M281" s="1484"/>
      <c r="N281" s="395"/>
      <c r="O281" s="395"/>
      <c r="P281" s="395"/>
      <c r="Q281" s="395"/>
      <c r="R281" s="395"/>
    </row>
    <row r="282" spans="2:18" x14ac:dyDescent="0.25">
      <c r="B282" s="413"/>
      <c r="C282" s="395"/>
      <c r="D282" s="395"/>
      <c r="E282" s="395"/>
      <c r="F282" s="395"/>
      <c r="G282" s="1475"/>
      <c r="H282" s="395"/>
      <c r="I282" s="395"/>
      <c r="J282" s="395"/>
      <c r="K282" s="395"/>
      <c r="L282" s="395"/>
      <c r="M282" s="1484"/>
      <c r="N282" s="395"/>
      <c r="O282" s="395"/>
      <c r="P282" s="395"/>
      <c r="Q282" s="395"/>
      <c r="R282" s="395"/>
    </row>
    <row r="283" spans="2:18" x14ac:dyDescent="0.25">
      <c r="B283" s="413"/>
      <c r="C283" s="395"/>
      <c r="D283" s="395"/>
      <c r="E283" s="395"/>
      <c r="F283" s="395"/>
      <c r="G283" s="1475"/>
      <c r="H283" s="395"/>
      <c r="I283" s="395"/>
      <c r="J283" s="395"/>
      <c r="K283" s="395"/>
      <c r="L283" s="395"/>
      <c r="M283" s="1484"/>
      <c r="N283" s="395"/>
      <c r="O283" s="395"/>
      <c r="P283" s="395"/>
      <c r="Q283" s="395"/>
      <c r="R283" s="395"/>
    </row>
    <row r="284" spans="2:18" x14ac:dyDescent="0.25">
      <c r="B284" s="413"/>
      <c r="C284" s="395"/>
      <c r="D284" s="395"/>
      <c r="E284" s="395"/>
      <c r="F284" s="395"/>
      <c r="G284" s="1475"/>
      <c r="H284" s="395"/>
      <c r="I284" s="395"/>
      <c r="J284" s="395"/>
      <c r="K284" s="395"/>
      <c r="L284" s="395"/>
      <c r="M284" s="1484"/>
      <c r="N284" s="395"/>
      <c r="O284" s="395"/>
      <c r="P284" s="395"/>
      <c r="Q284" s="395"/>
      <c r="R284" s="395"/>
    </row>
    <row r="285" spans="2:18" x14ac:dyDescent="0.25">
      <c r="B285" s="413"/>
      <c r="C285" s="395"/>
      <c r="D285" s="395"/>
      <c r="E285" s="395"/>
      <c r="F285" s="395"/>
      <c r="G285" s="1475"/>
      <c r="H285" s="395"/>
      <c r="I285" s="395"/>
      <c r="J285" s="395"/>
      <c r="K285" s="395"/>
      <c r="L285" s="395"/>
      <c r="M285" s="1484"/>
      <c r="N285" s="395"/>
      <c r="O285" s="395"/>
      <c r="P285" s="395"/>
      <c r="Q285" s="395"/>
      <c r="R285" s="395"/>
    </row>
    <row r="286" spans="2:18" x14ac:dyDescent="0.25">
      <c r="B286" s="413"/>
      <c r="C286" s="395"/>
      <c r="D286" s="395"/>
      <c r="E286" s="395"/>
      <c r="F286" s="395"/>
      <c r="G286" s="1475"/>
      <c r="H286" s="395"/>
      <c r="I286" s="395"/>
      <c r="J286" s="395"/>
      <c r="K286" s="395"/>
      <c r="L286" s="395"/>
      <c r="M286" s="1484"/>
      <c r="N286" s="395"/>
      <c r="O286" s="395"/>
      <c r="P286" s="395"/>
      <c r="Q286" s="395"/>
      <c r="R286" s="395"/>
    </row>
    <row r="287" spans="2:18" x14ac:dyDescent="0.25">
      <c r="B287" s="413"/>
      <c r="C287" s="395"/>
      <c r="D287" s="395"/>
      <c r="E287" s="395"/>
      <c r="F287" s="395"/>
      <c r="G287" s="1475"/>
      <c r="H287" s="395"/>
      <c r="I287" s="395"/>
      <c r="J287" s="395"/>
      <c r="K287" s="395"/>
      <c r="L287" s="395"/>
      <c r="M287" s="1484"/>
      <c r="N287" s="395"/>
      <c r="O287" s="395"/>
      <c r="P287" s="395"/>
      <c r="Q287" s="395"/>
      <c r="R287" s="395"/>
    </row>
    <row r="288" spans="2:18" x14ac:dyDescent="0.25">
      <c r="B288" s="413"/>
      <c r="C288" s="395"/>
      <c r="D288" s="395"/>
      <c r="E288" s="395"/>
      <c r="F288" s="395"/>
      <c r="G288" s="1475"/>
      <c r="H288" s="395"/>
      <c r="I288" s="395"/>
      <c r="J288" s="395"/>
      <c r="K288" s="395"/>
      <c r="L288" s="395"/>
      <c r="M288" s="1484"/>
      <c r="N288" s="395"/>
      <c r="O288" s="395"/>
      <c r="P288" s="395"/>
      <c r="Q288" s="395"/>
      <c r="R288" s="395"/>
    </row>
    <row r="289" spans="2:18" x14ac:dyDescent="0.25">
      <c r="B289" s="413"/>
      <c r="C289" s="395"/>
      <c r="D289" s="395"/>
      <c r="E289" s="395"/>
      <c r="F289" s="395"/>
      <c r="G289" s="1475"/>
      <c r="H289" s="395"/>
      <c r="I289" s="395"/>
      <c r="J289" s="395"/>
      <c r="K289" s="395"/>
      <c r="L289" s="395"/>
      <c r="M289" s="1484"/>
      <c r="N289" s="395"/>
      <c r="O289" s="395"/>
      <c r="P289" s="395"/>
      <c r="Q289" s="395"/>
      <c r="R289" s="395"/>
    </row>
    <row r="290" spans="2:18" x14ac:dyDescent="0.25">
      <c r="B290" s="413"/>
      <c r="C290" s="395"/>
      <c r="D290" s="395"/>
      <c r="E290" s="395"/>
      <c r="F290" s="395"/>
      <c r="G290" s="1475"/>
      <c r="H290" s="395"/>
      <c r="I290" s="395"/>
      <c r="J290" s="395"/>
      <c r="K290" s="395"/>
      <c r="L290" s="395"/>
      <c r="M290" s="1484"/>
      <c r="N290" s="395"/>
      <c r="O290" s="395"/>
      <c r="P290" s="395"/>
      <c r="Q290" s="395"/>
      <c r="R290" s="395"/>
    </row>
    <row r="291" spans="2:18" x14ac:dyDescent="0.25">
      <c r="B291" s="413"/>
      <c r="C291" s="395"/>
      <c r="D291" s="395"/>
      <c r="E291" s="395"/>
      <c r="F291" s="395"/>
      <c r="G291" s="1475"/>
      <c r="H291" s="395"/>
      <c r="I291" s="395"/>
      <c r="J291" s="395"/>
      <c r="K291" s="395"/>
      <c r="L291" s="395"/>
      <c r="M291" s="1484"/>
      <c r="N291" s="395"/>
      <c r="O291" s="395"/>
      <c r="P291" s="395"/>
      <c r="Q291" s="395"/>
      <c r="R291" s="395"/>
    </row>
    <row r="292" spans="2:18" x14ac:dyDescent="0.25">
      <c r="B292" s="413"/>
      <c r="C292" s="395"/>
      <c r="D292" s="395"/>
      <c r="E292" s="395"/>
      <c r="F292" s="395"/>
      <c r="G292" s="1475"/>
      <c r="H292" s="395"/>
      <c r="I292" s="395"/>
      <c r="J292" s="395"/>
      <c r="K292" s="395"/>
      <c r="L292" s="395"/>
      <c r="M292" s="1484"/>
      <c r="N292" s="395"/>
      <c r="O292" s="395"/>
      <c r="P292" s="395"/>
      <c r="Q292" s="395"/>
      <c r="R292" s="395"/>
    </row>
    <row r="293" spans="2:18" x14ac:dyDescent="0.25">
      <c r="B293" s="413"/>
      <c r="C293" s="395"/>
      <c r="D293" s="395"/>
      <c r="E293" s="395"/>
      <c r="F293" s="395"/>
      <c r="G293" s="1475"/>
      <c r="H293" s="395"/>
      <c r="I293" s="395"/>
      <c r="J293" s="395"/>
      <c r="K293" s="395"/>
      <c r="L293" s="395"/>
      <c r="M293" s="1484"/>
      <c r="N293" s="395"/>
      <c r="O293" s="395"/>
      <c r="P293" s="395"/>
      <c r="Q293" s="395"/>
      <c r="R293" s="395"/>
    </row>
    <row r="294" spans="2:18" x14ac:dyDescent="0.25">
      <c r="B294" s="413"/>
      <c r="C294" s="395"/>
      <c r="D294" s="395"/>
      <c r="E294" s="395"/>
      <c r="F294" s="395"/>
      <c r="G294" s="1475"/>
      <c r="H294" s="395"/>
      <c r="I294" s="395"/>
      <c r="J294" s="395"/>
      <c r="K294" s="395"/>
      <c r="L294" s="395"/>
      <c r="M294" s="1484"/>
      <c r="N294" s="395"/>
      <c r="O294" s="395"/>
      <c r="P294" s="395"/>
      <c r="Q294" s="395"/>
      <c r="R294" s="395"/>
    </row>
    <row r="295" spans="2:18" x14ac:dyDescent="0.25">
      <c r="B295" s="413"/>
      <c r="C295" s="395"/>
      <c r="D295" s="395"/>
      <c r="E295" s="395"/>
      <c r="F295" s="395"/>
      <c r="G295" s="1475"/>
      <c r="H295" s="395"/>
      <c r="I295" s="395"/>
      <c r="J295" s="395"/>
      <c r="K295" s="395"/>
      <c r="L295" s="395"/>
      <c r="M295" s="1484"/>
      <c r="N295" s="395"/>
      <c r="O295" s="395"/>
      <c r="P295" s="395"/>
      <c r="Q295" s="395"/>
      <c r="R295" s="395"/>
    </row>
    <row r="296" spans="2:18" x14ac:dyDescent="0.25">
      <c r="B296" s="413"/>
      <c r="C296" s="395"/>
      <c r="D296" s="395"/>
      <c r="E296" s="395"/>
      <c r="F296" s="395"/>
      <c r="G296" s="1475"/>
      <c r="H296" s="395"/>
      <c r="I296" s="395"/>
      <c r="J296" s="395"/>
      <c r="K296" s="395"/>
      <c r="L296" s="395"/>
      <c r="M296" s="1484"/>
      <c r="N296" s="395"/>
      <c r="O296" s="395"/>
      <c r="P296" s="395"/>
      <c r="Q296" s="395"/>
      <c r="R296" s="395"/>
    </row>
    <row r="297" spans="2:18" x14ac:dyDescent="0.25">
      <c r="B297" s="413"/>
      <c r="C297" s="395"/>
      <c r="D297" s="395"/>
      <c r="E297" s="395"/>
      <c r="F297" s="395"/>
      <c r="G297" s="1475"/>
      <c r="H297" s="395"/>
      <c r="I297" s="395"/>
      <c r="J297" s="395"/>
      <c r="K297" s="395"/>
      <c r="L297" s="395"/>
      <c r="M297" s="1484"/>
      <c r="N297" s="395"/>
      <c r="O297" s="395"/>
      <c r="P297" s="395"/>
      <c r="Q297" s="395"/>
      <c r="R297" s="395"/>
    </row>
    <row r="298" spans="2:18" x14ac:dyDescent="0.25">
      <c r="B298" s="413"/>
      <c r="C298" s="395"/>
      <c r="D298" s="395"/>
      <c r="E298" s="395"/>
      <c r="F298" s="395"/>
      <c r="G298" s="1475"/>
      <c r="H298" s="395"/>
      <c r="I298" s="395"/>
      <c r="J298" s="395"/>
      <c r="K298" s="395"/>
      <c r="L298" s="395"/>
      <c r="M298" s="1484"/>
      <c r="N298" s="395"/>
      <c r="O298" s="395"/>
      <c r="P298" s="395"/>
      <c r="Q298" s="395"/>
      <c r="R298" s="395"/>
    </row>
    <row r="299" spans="2:18" x14ac:dyDescent="0.25">
      <c r="B299" s="413"/>
      <c r="C299" s="395"/>
      <c r="D299" s="395"/>
      <c r="E299" s="395"/>
      <c r="F299" s="395"/>
      <c r="G299" s="1475"/>
      <c r="H299" s="395"/>
      <c r="I299" s="395"/>
      <c r="J299" s="395"/>
      <c r="K299" s="395"/>
      <c r="L299" s="395"/>
      <c r="M299" s="1484"/>
      <c r="N299" s="395"/>
      <c r="O299" s="395"/>
      <c r="P299" s="395"/>
      <c r="Q299" s="395"/>
      <c r="R299" s="395"/>
    </row>
    <row r="300" spans="2:18" x14ac:dyDescent="0.25">
      <c r="B300" s="413"/>
      <c r="C300" s="395"/>
      <c r="D300" s="395"/>
      <c r="E300" s="395"/>
      <c r="F300" s="395"/>
      <c r="G300" s="1475"/>
      <c r="H300" s="395"/>
      <c r="I300" s="395"/>
      <c r="J300" s="395"/>
      <c r="K300" s="395"/>
      <c r="L300" s="395"/>
      <c r="M300" s="1484"/>
      <c r="N300" s="395"/>
      <c r="O300" s="395"/>
      <c r="P300" s="395"/>
      <c r="Q300" s="395"/>
      <c r="R300" s="395"/>
    </row>
    <row r="301" spans="2:18" x14ac:dyDescent="0.25">
      <c r="B301" s="413"/>
      <c r="C301" s="395"/>
      <c r="D301" s="395"/>
      <c r="E301" s="395"/>
      <c r="F301" s="395"/>
      <c r="G301" s="1475"/>
      <c r="H301" s="395"/>
      <c r="I301" s="395"/>
      <c r="J301" s="395"/>
      <c r="K301" s="395"/>
      <c r="L301" s="395"/>
      <c r="M301" s="1484"/>
      <c r="N301" s="395"/>
      <c r="O301" s="395"/>
      <c r="P301" s="395"/>
      <c r="Q301" s="395"/>
      <c r="R301" s="395"/>
    </row>
    <row r="302" spans="2:18" x14ac:dyDescent="0.25">
      <c r="B302" s="413"/>
      <c r="C302" s="395"/>
      <c r="D302" s="395"/>
      <c r="E302" s="395"/>
      <c r="F302" s="395"/>
      <c r="G302" s="1475"/>
      <c r="H302" s="395"/>
      <c r="I302" s="395"/>
      <c r="J302" s="395"/>
      <c r="K302" s="395"/>
      <c r="L302" s="395"/>
      <c r="M302" s="1484"/>
      <c r="N302" s="395"/>
      <c r="O302" s="395"/>
      <c r="P302" s="395"/>
      <c r="Q302" s="395"/>
      <c r="R302" s="395"/>
    </row>
    <row r="303" spans="2:18" x14ac:dyDescent="0.25">
      <c r="B303" s="413"/>
      <c r="C303" s="395"/>
      <c r="D303" s="395"/>
      <c r="E303" s="395"/>
      <c r="F303" s="395"/>
      <c r="G303" s="1475"/>
      <c r="H303" s="395"/>
      <c r="I303" s="395"/>
      <c r="J303" s="395"/>
      <c r="K303" s="395"/>
      <c r="L303" s="395"/>
      <c r="M303" s="1484"/>
      <c r="N303" s="395"/>
      <c r="O303" s="395"/>
      <c r="P303" s="395"/>
      <c r="Q303" s="395"/>
      <c r="R303" s="395"/>
    </row>
    <row r="304" spans="2:18" x14ac:dyDescent="0.25">
      <c r="B304" s="413"/>
      <c r="C304" s="395"/>
      <c r="D304" s="395"/>
      <c r="E304" s="395"/>
      <c r="F304" s="395"/>
      <c r="G304" s="1475"/>
      <c r="H304" s="395"/>
      <c r="I304" s="395"/>
      <c r="J304" s="395"/>
      <c r="K304" s="395"/>
      <c r="L304" s="395"/>
      <c r="M304" s="1484"/>
      <c r="N304" s="395"/>
      <c r="O304" s="395"/>
      <c r="P304" s="395"/>
      <c r="Q304" s="395"/>
      <c r="R304" s="395"/>
    </row>
    <row r="305" spans="2:18" x14ac:dyDescent="0.25">
      <c r="B305" s="413"/>
      <c r="C305" s="395"/>
      <c r="D305" s="395"/>
      <c r="E305" s="395"/>
      <c r="F305" s="395"/>
      <c r="G305" s="1475"/>
      <c r="H305" s="395"/>
      <c r="I305" s="395"/>
      <c r="J305" s="395"/>
      <c r="K305" s="395"/>
      <c r="L305" s="395"/>
      <c r="M305" s="1484"/>
      <c r="N305" s="395"/>
      <c r="O305" s="395"/>
      <c r="P305" s="395"/>
      <c r="Q305" s="395"/>
      <c r="R305" s="395"/>
    </row>
    <row r="306" spans="2:18" x14ac:dyDescent="0.25">
      <c r="B306" s="413"/>
      <c r="C306" s="395"/>
      <c r="D306" s="395"/>
      <c r="E306" s="395"/>
      <c r="F306" s="395"/>
      <c r="G306" s="1475"/>
      <c r="H306" s="395"/>
      <c r="I306" s="395"/>
      <c r="J306" s="395"/>
      <c r="K306" s="395"/>
      <c r="L306" s="395"/>
      <c r="M306" s="1484"/>
      <c r="N306" s="395"/>
      <c r="O306" s="395"/>
      <c r="P306" s="395"/>
      <c r="Q306" s="395"/>
      <c r="R306" s="395"/>
    </row>
    <row r="307" spans="2:18" x14ac:dyDescent="0.25">
      <c r="B307" s="413"/>
      <c r="C307" s="395"/>
      <c r="D307" s="395"/>
      <c r="E307" s="395"/>
      <c r="F307" s="395"/>
      <c r="G307" s="1475"/>
      <c r="H307" s="395"/>
      <c r="I307" s="395"/>
      <c r="J307" s="395"/>
      <c r="K307" s="395"/>
      <c r="L307" s="395"/>
      <c r="M307" s="1484"/>
      <c r="N307" s="395"/>
      <c r="O307" s="395"/>
      <c r="P307" s="395"/>
      <c r="Q307" s="395"/>
      <c r="R307" s="395"/>
    </row>
    <row r="308" spans="2:18" x14ac:dyDescent="0.25">
      <c r="B308" s="413"/>
      <c r="C308" s="395"/>
      <c r="D308" s="395"/>
      <c r="E308" s="395"/>
      <c r="F308" s="395"/>
      <c r="G308" s="1475"/>
      <c r="H308" s="395"/>
      <c r="I308" s="395"/>
      <c r="J308" s="395"/>
      <c r="K308" s="395"/>
      <c r="L308" s="395"/>
      <c r="M308" s="1484"/>
      <c r="N308" s="395"/>
      <c r="O308" s="395"/>
      <c r="P308" s="395"/>
      <c r="Q308" s="395"/>
      <c r="R308" s="395"/>
    </row>
    <row r="309" spans="2:18" x14ac:dyDescent="0.25">
      <c r="B309" s="413"/>
      <c r="C309" s="395"/>
      <c r="D309" s="395"/>
      <c r="E309" s="395"/>
      <c r="F309" s="395"/>
      <c r="G309" s="1475"/>
      <c r="H309" s="395"/>
      <c r="I309" s="395"/>
      <c r="J309" s="395"/>
      <c r="K309" s="395"/>
      <c r="L309" s="395"/>
      <c r="M309" s="1484"/>
      <c r="N309" s="395"/>
      <c r="O309" s="395"/>
      <c r="P309" s="395"/>
      <c r="Q309" s="395"/>
      <c r="R309" s="395"/>
    </row>
    <row r="310" spans="2:18" x14ac:dyDescent="0.25">
      <c r="B310" s="413"/>
      <c r="C310" s="395"/>
      <c r="D310" s="395"/>
      <c r="E310" s="395"/>
      <c r="F310" s="395"/>
      <c r="G310" s="1475"/>
      <c r="H310" s="395"/>
      <c r="I310" s="395"/>
      <c r="J310" s="395"/>
      <c r="K310" s="395"/>
      <c r="L310" s="395"/>
      <c r="M310" s="1484"/>
      <c r="N310" s="395"/>
      <c r="O310" s="395"/>
      <c r="P310" s="395"/>
      <c r="Q310" s="395"/>
      <c r="R310" s="395"/>
    </row>
    <row r="311" spans="2:18" x14ac:dyDescent="0.25">
      <c r="B311" s="413"/>
      <c r="C311" s="395"/>
      <c r="D311" s="395"/>
      <c r="E311" s="395"/>
      <c r="F311" s="395"/>
      <c r="G311" s="1475"/>
      <c r="H311" s="395"/>
      <c r="I311" s="395"/>
      <c r="J311" s="395"/>
      <c r="K311" s="395"/>
      <c r="L311" s="395"/>
      <c r="M311" s="1484"/>
      <c r="N311" s="395"/>
      <c r="O311" s="395"/>
      <c r="P311" s="395"/>
      <c r="Q311" s="395"/>
      <c r="R311" s="395"/>
    </row>
    <row r="312" spans="2:18" x14ac:dyDescent="0.25">
      <c r="B312" s="413"/>
      <c r="C312" s="395"/>
      <c r="D312" s="395"/>
      <c r="E312" s="395"/>
      <c r="F312" s="395"/>
      <c r="G312" s="1475"/>
      <c r="H312" s="395"/>
      <c r="I312" s="395"/>
      <c r="J312" s="395"/>
      <c r="K312" s="395"/>
      <c r="L312" s="395"/>
      <c r="M312" s="1484"/>
      <c r="N312" s="395"/>
      <c r="O312" s="395"/>
      <c r="P312" s="395"/>
      <c r="Q312" s="395"/>
      <c r="R312" s="395"/>
    </row>
    <row r="313" spans="2:18" x14ac:dyDescent="0.25">
      <c r="B313" s="413"/>
      <c r="C313" s="395"/>
      <c r="D313" s="395"/>
      <c r="E313" s="395"/>
      <c r="F313" s="395"/>
      <c r="G313" s="1475"/>
      <c r="H313" s="395"/>
      <c r="I313" s="395"/>
      <c r="J313" s="395"/>
      <c r="K313" s="395"/>
      <c r="L313" s="395"/>
      <c r="M313" s="1484"/>
      <c r="N313" s="395"/>
      <c r="O313" s="395"/>
      <c r="P313" s="395"/>
      <c r="Q313" s="395"/>
      <c r="R313" s="395"/>
    </row>
    <row r="314" spans="2:18" x14ac:dyDescent="0.25">
      <c r="B314" s="413"/>
      <c r="C314" s="395"/>
      <c r="D314" s="395"/>
      <c r="E314" s="395"/>
      <c r="F314" s="395"/>
      <c r="G314" s="1475"/>
      <c r="H314" s="395"/>
      <c r="I314" s="395"/>
      <c r="J314" s="395"/>
      <c r="K314" s="395"/>
      <c r="L314" s="395"/>
      <c r="M314" s="1484"/>
      <c r="N314" s="395"/>
      <c r="O314" s="395"/>
      <c r="P314" s="395"/>
      <c r="Q314" s="395"/>
      <c r="R314" s="395"/>
    </row>
    <row r="315" spans="2:18" x14ac:dyDescent="0.25">
      <c r="B315" s="413"/>
      <c r="C315" s="395"/>
      <c r="D315" s="395"/>
      <c r="E315" s="395"/>
      <c r="F315" s="395"/>
      <c r="G315" s="1475"/>
      <c r="H315" s="395"/>
      <c r="I315" s="395"/>
      <c r="J315" s="395"/>
      <c r="K315" s="395"/>
      <c r="L315" s="395"/>
      <c r="M315" s="1484"/>
      <c r="N315" s="395"/>
      <c r="O315" s="395"/>
      <c r="P315" s="395"/>
      <c r="Q315" s="395"/>
      <c r="R315" s="395"/>
    </row>
    <row r="316" spans="2:18" x14ac:dyDescent="0.25">
      <c r="B316" s="413"/>
      <c r="C316" s="395"/>
      <c r="D316" s="395"/>
      <c r="E316" s="395"/>
      <c r="F316" s="395"/>
      <c r="G316" s="1475"/>
      <c r="H316" s="395"/>
      <c r="I316" s="395"/>
      <c r="J316" s="395"/>
      <c r="K316" s="395"/>
      <c r="L316" s="395"/>
      <c r="M316" s="1484"/>
      <c r="N316" s="395"/>
      <c r="O316" s="395"/>
      <c r="P316" s="395"/>
      <c r="Q316" s="395"/>
      <c r="R316" s="395"/>
    </row>
    <row r="317" spans="2:18" x14ac:dyDescent="0.25">
      <c r="B317" s="413"/>
      <c r="C317" s="395"/>
      <c r="D317" s="395"/>
      <c r="E317" s="395"/>
      <c r="F317" s="395"/>
      <c r="G317" s="1475"/>
      <c r="H317" s="395"/>
      <c r="I317" s="395"/>
      <c r="J317" s="395"/>
      <c r="K317" s="395"/>
      <c r="L317" s="395"/>
      <c r="M317" s="1484"/>
      <c r="N317" s="395"/>
      <c r="O317" s="395"/>
      <c r="P317" s="395"/>
      <c r="Q317" s="395"/>
      <c r="R317" s="395"/>
    </row>
    <row r="318" spans="2:18" x14ac:dyDescent="0.25">
      <c r="B318" s="413"/>
      <c r="C318" s="395"/>
      <c r="D318" s="395"/>
      <c r="E318" s="395"/>
      <c r="F318" s="395"/>
      <c r="G318" s="1475"/>
      <c r="H318" s="395"/>
      <c r="I318" s="395"/>
      <c r="J318" s="395"/>
      <c r="K318" s="395"/>
      <c r="L318" s="395"/>
      <c r="M318" s="1484"/>
      <c r="N318" s="395"/>
      <c r="O318" s="395"/>
      <c r="P318" s="395"/>
      <c r="Q318" s="395"/>
      <c r="R318" s="395"/>
    </row>
    <row r="319" spans="2:18" x14ac:dyDescent="0.25">
      <c r="B319" s="413"/>
      <c r="C319" s="395"/>
      <c r="D319" s="395"/>
      <c r="E319" s="395"/>
      <c r="F319" s="395"/>
      <c r="G319" s="1475"/>
      <c r="H319" s="395"/>
      <c r="I319" s="395"/>
      <c r="J319" s="395"/>
      <c r="K319" s="395"/>
      <c r="L319" s="395"/>
      <c r="M319" s="1484"/>
      <c r="N319" s="395"/>
      <c r="O319" s="395"/>
      <c r="P319" s="395"/>
      <c r="Q319" s="395"/>
      <c r="R319" s="395"/>
    </row>
    <row r="320" spans="2:18" x14ac:dyDescent="0.25">
      <c r="B320" s="413"/>
      <c r="C320" s="395"/>
      <c r="D320" s="395"/>
      <c r="E320" s="395"/>
      <c r="F320" s="395"/>
      <c r="G320" s="1475"/>
      <c r="H320" s="395"/>
      <c r="I320" s="395"/>
      <c r="J320" s="395"/>
      <c r="K320" s="395"/>
      <c r="L320" s="395"/>
      <c r="M320" s="1484"/>
      <c r="N320" s="395"/>
      <c r="O320" s="395"/>
      <c r="P320" s="395"/>
      <c r="Q320" s="395"/>
      <c r="R320" s="395"/>
    </row>
    <row r="321" spans="2:18" x14ac:dyDescent="0.25">
      <c r="B321" s="413"/>
      <c r="C321" s="395"/>
      <c r="D321" s="395"/>
      <c r="E321" s="395"/>
      <c r="F321" s="395"/>
      <c r="G321" s="1475"/>
      <c r="H321" s="395"/>
      <c r="I321" s="395"/>
      <c r="J321" s="395"/>
      <c r="K321" s="395"/>
      <c r="L321" s="395"/>
      <c r="M321" s="1484"/>
      <c r="N321" s="395"/>
      <c r="O321" s="395"/>
      <c r="P321" s="395"/>
      <c r="Q321" s="395"/>
      <c r="R321" s="395"/>
    </row>
    <row r="322" spans="2:18" x14ac:dyDescent="0.25">
      <c r="B322" s="413"/>
      <c r="C322" s="395"/>
      <c r="D322" s="395"/>
      <c r="E322" s="395"/>
      <c r="F322" s="395"/>
      <c r="G322" s="1475"/>
      <c r="H322" s="395"/>
      <c r="I322" s="395"/>
      <c r="J322" s="395"/>
      <c r="K322" s="395"/>
      <c r="L322" s="395"/>
      <c r="M322" s="1484"/>
      <c r="N322" s="395"/>
      <c r="O322" s="395"/>
      <c r="P322" s="395"/>
      <c r="Q322" s="395"/>
      <c r="R322" s="395"/>
    </row>
    <row r="323" spans="2:18" x14ac:dyDescent="0.25">
      <c r="B323" s="413"/>
      <c r="C323" s="395"/>
      <c r="D323" s="395"/>
      <c r="E323" s="395"/>
      <c r="F323" s="395"/>
      <c r="G323" s="1475"/>
      <c r="H323" s="395"/>
      <c r="I323" s="395"/>
      <c r="J323" s="395"/>
      <c r="K323" s="395"/>
      <c r="L323" s="395"/>
      <c r="M323" s="1484"/>
      <c r="N323" s="395"/>
      <c r="O323" s="395"/>
      <c r="P323" s="395"/>
      <c r="Q323" s="395"/>
      <c r="R323" s="395"/>
    </row>
    <row r="324" spans="2:18" x14ac:dyDescent="0.25">
      <c r="B324" s="413"/>
      <c r="C324" s="395"/>
      <c r="D324" s="395"/>
      <c r="E324" s="395"/>
      <c r="F324" s="395"/>
      <c r="G324" s="1475"/>
      <c r="H324" s="395"/>
      <c r="I324" s="395"/>
      <c r="J324" s="395"/>
      <c r="K324" s="395"/>
      <c r="L324" s="395"/>
      <c r="M324" s="1484"/>
      <c r="N324" s="395"/>
      <c r="O324" s="395"/>
      <c r="P324" s="395"/>
      <c r="Q324" s="395"/>
      <c r="R324" s="395"/>
    </row>
    <row r="325" spans="2:18" x14ac:dyDescent="0.25">
      <c r="B325" s="413"/>
      <c r="C325" s="395"/>
      <c r="D325" s="395"/>
      <c r="E325" s="395"/>
      <c r="F325" s="395"/>
      <c r="G325" s="1475"/>
      <c r="H325" s="395"/>
      <c r="I325" s="395"/>
      <c r="J325" s="395"/>
      <c r="K325" s="395"/>
      <c r="L325" s="395"/>
      <c r="M325" s="1484"/>
      <c r="N325" s="395"/>
      <c r="O325" s="395"/>
      <c r="P325" s="395"/>
      <c r="Q325" s="395"/>
      <c r="R325" s="395"/>
    </row>
    <row r="326" spans="2:18" x14ac:dyDescent="0.25">
      <c r="B326" s="413"/>
      <c r="C326" s="395"/>
      <c r="D326" s="395"/>
      <c r="E326" s="395"/>
      <c r="F326" s="395"/>
      <c r="G326" s="1475"/>
      <c r="H326" s="395"/>
      <c r="I326" s="395"/>
      <c r="J326" s="395"/>
      <c r="K326" s="395"/>
      <c r="L326" s="395"/>
      <c r="M326" s="1484"/>
      <c r="N326" s="395"/>
      <c r="O326" s="395"/>
      <c r="P326" s="395"/>
      <c r="Q326" s="395"/>
      <c r="R326" s="395"/>
    </row>
    <row r="327" spans="2:18" x14ac:dyDescent="0.25">
      <c r="B327" s="413"/>
      <c r="C327" s="395"/>
      <c r="D327" s="395"/>
      <c r="E327" s="395"/>
      <c r="F327" s="395"/>
      <c r="G327" s="1475"/>
      <c r="H327" s="395"/>
      <c r="I327" s="395"/>
      <c r="J327" s="395"/>
      <c r="K327" s="395"/>
      <c r="L327" s="395"/>
      <c r="M327" s="1484"/>
      <c r="N327" s="395"/>
      <c r="O327" s="395"/>
      <c r="P327" s="395"/>
      <c r="Q327" s="395"/>
      <c r="R327" s="395"/>
    </row>
    <row r="328" spans="2:18" x14ac:dyDescent="0.25">
      <c r="B328" s="413"/>
      <c r="C328" s="395"/>
      <c r="D328" s="395"/>
      <c r="E328" s="395"/>
      <c r="F328" s="395"/>
      <c r="G328" s="1475"/>
      <c r="H328" s="395"/>
      <c r="I328" s="395"/>
      <c r="J328" s="395"/>
      <c r="K328" s="395"/>
      <c r="L328" s="395"/>
      <c r="M328" s="1484"/>
      <c r="N328" s="395"/>
      <c r="O328" s="395"/>
      <c r="P328" s="395"/>
      <c r="Q328" s="395"/>
      <c r="R328" s="395"/>
    </row>
    <row r="329" spans="2:18" x14ac:dyDescent="0.25">
      <c r="B329" s="413"/>
      <c r="C329" s="395"/>
      <c r="D329" s="395"/>
      <c r="E329" s="395"/>
      <c r="F329" s="395"/>
      <c r="G329" s="1475"/>
      <c r="H329" s="395"/>
      <c r="I329" s="395"/>
      <c r="J329" s="395"/>
      <c r="K329" s="395"/>
      <c r="L329" s="395"/>
      <c r="M329" s="1484"/>
      <c r="N329" s="395"/>
      <c r="O329" s="395"/>
      <c r="P329" s="395"/>
      <c r="Q329" s="395"/>
      <c r="R329" s="395"/>
    </row>
    <row r="330" spans="2:18" x14ac:dyDescent="0.25">
      <c r="B330" s="413"/>
      <c r="C330" s="395"/>
      <c r="D330" s="395"/>
      <c r="E330" s="395"/>
      <c r="F330" s="395"/>
      <c r="G330" s="1475"/>
      <c r="H330" s="395"/>
      <c r="I330" s="395"/>
      <c r="J330" s="395"/>
      <c r="K330" s="395"/>
      <c r="L330" s="395"/>
      <c r="M330" s="1484"/>
      <c r="N330" s="395"/>
      <c r="O330" s="395"/>
      <c r="P330" s="395"/>
      <c r="Q330" s="395"/>
      <c r="R330" s="395"/>
    </row>
    <row r="331" spans="2:18" x14ac:dyDescent="0.25">
      <c r="B331" s="413"/>
      <c r="C331" s="395"/>
      <c r="D331" s="395"/>
      <c r="E331" s="395"/>
      <c r="F331" s="395"/>
      <c r="G331" s="1475"/>
      <c r="H331" s="395"/>
      <c r="I331" s="395"/>
      <c r="J331" s="395"/>
      <c r="K331" s="395"/>
      <c r="L331" s="395"/>
      <c r="M331" s="1484"/>
      <c r="N331" s="395"/>
      <c r="O331" s="395"/>
      <c r="P331" s="395"/>
      <c r="Q331" s="395"/>
      <c r="R331" s="395"/>
    </row>
    <row r="332" spans="2:18" x14ac:dyDescent="0.25">
      <c r="B332" s="413"/>
      <c r="C332" s="395"/>
      <c r="D332" s="395"/>
      <c r="E332" s="395"/>
      <c r="F332" s="395"/>
      <c r="G332" s="1475"/>
      <c r="H332" s="395"/>
      <c r="I332" s="395"/>
      <c r="J332" s="395"/>
      <c r="K332" s="395"/>
      <c r="L332" s="395"/>
      <c r="M332" s="1484"/>
      <c r="N332" s="395"/>
      <c r="O332" s="395"/>
      <c r="P332" s="395"/>
      <c r="Q332" s="395"/>
      <c r="R332" s="395"/>
    </row>
    <row r="333" spans="2:18" x14ac:dyDescent="0.25">
      <c r="B333" s="413"/>
      <c r="C333" s="395"/>
      <c r="D333" s="395"/>
      <c r="E333" s="395"/>
      <c r="F333" s="395"/>
      <c r="G333" s="1475"/>
      <c r="H333" s="395"/>
      <c r="I333" s="395"/>
      <c r="J333" s="395"/>
      <c r="K333" s="395"/>
      <c r="L333" s="395"/>
      <c r="M333" s="1484"/>
      <c r="N333" s="395"/>
      <c r="O333" s="395"/>
      <c r="P333" s="395"/>
      <c r="Q333" s="395"/>
      <c r="R333" s="395"/>
    </row>
    <row r="334" spans="2:18" x14ac:dyDescent="0.25">
      <c r="B334" s="413"/>
      <c r="C334" s="395"/>
      <c r="D334" s="395"/>
      <c r="E334" s="395"/>
      <c r="F334" s="395"/>
      <c r="G334" s="1475"/>
      <c r="H334" s="395"/>
      <c r="I334" s="395"/>
      <c r="J334" s="395"/>
      <c r="K334" s="395"/>
      <c r="L334" s="395"/>
      <c r="M334" s="1484"/>
      <c r="N334" s="395"/>
      <c r="O334" s="395"/>
      <c r="P334" s="395"/>
      <c r="Q334" s="395"/>
      <c r="R334" s="395"/>
    </row>
    <row r="335" spans="2:18" x14ac:dyDescent="0.25">
      <c r="B335" s="413"/>
      <c r="C335" s="395"/>
      <c r="D335" s="395"/>
      <c r="E335" s="395"/>
      <c r="F335" s="395"/>
      <c r="G335" s="1475"/>
      <c r="H335" s="395"/>
      <c r="I335" s="395"/>
      <c r="J335" s="395"/>
      <c r="K335" s="395"/>
      <c r="L335" s="395"/>
      <c r="M335" s="1484"/>
      <c r="N335" s="395"/>
      <c r="O335" s="395"/>
      <c r="P335" s="395"/>
      <c r="Q335" s="395"/>
      <c r="R335" s="395"/>
    </row>
    <row r="336" spans="2:18" x14ac:dyDescent="0.25">
      <c r="B336" s="413"/>
      <c r="C336" s="395"/>
      <c r="D336" s="395"/>
      <c r="E336" s="395"/>
      <c r="F336" s="395"/>
      <c r="G336" s="1475"/>
      <c r="H336" s="395"/>
      <c r="I336" s="395"/>
      <c r="J336" s="395"/>
      <c r="K336" s="395"/>
      <c r="L336" s="395"/>
      <c r="M336" s="1484"/>
      <c r="N336" s="395"/>
      <c r="O336" s="395"/>
      <c r="P336" s="395"/>
      <c r="Q336" s="395"/>
      <c r="R336" s="395"/>
    </row>
    <row r="337" spans="2:18" x14ac:dyDescent="0.25">
      <c r="B337" s="413"/>
      <c r="C337" s="395"/>
      <c r="D337" s="395"/>
      <c r="E337" s="395"/>
      <c r="F337" s="395"/>
      <c r="G337" s="1475"/>
      <c r="H337" s="395"/>
      <c r="I337" s="395"/>
      <c r="J337" s="395"/>
      <c r="K337" s="395"/>
      <c r="L337" s="395"/>
      <c r="M337" s="1484"/>
      <c r="N337" s="395"/>
      <c r="O337" s="395"/>
      <c r="P337" s="395"/>
      <c r="Q337" s="395"/>
      <c r="R337" s="395"/>
    </row>
    <row r="338" spans="2:18" x14ac:dyDescent="0.25">
      <c r="B338" s="413"/>
      <c r="C338" s="395"/>
      <c r="D338" s="395"/>
      <c r="E338" s="395"/>
      <c r="F338" s="395"/>
      <c r="G338" s="1475"/>
      <c r="H338" s="395"/>
      <c r="I338" s="395"/>
      <c r="J338" s="395"/>
      <c r="K338" s="395"/>
      <c r="L338" s="395"/>
      <c r="M338" s="1484"/>
      <c r="N338" s="395"/>
      <c r="O338" s="395"/>
      <c r="P338" s="395"/>
      <c r="Q338" s="395"/>
      <c r="R338" s="395"/>
    </row>
    <row r="339" spans="2:18" x14ac:dyDescent="0.25">
      <c r="B339" s="413"/>
      <c r="C339" s="395"/>
      <c r="D339" s="395"/>
      <c r="E339" s="395"/>
      <c r="F339" s="395"/>
      <c r="G339" s="1475"/>
      <c r="H339" s="395"/>
      <c r="I339" s="395"/>
      <c r="J339" s="395"/>
      <c r="K339" s="395"/>
      <c r="L339" s="395"/>
      <c r="M339" s="1484"/>
      <c r="N339" s="395"/>
      <c r="O339" s="395"/>
      <c r="P339" s="395"/>
      <c r="Q339" s="395"/>
      <c r="R339" s="395"/>
    </row>
    <row r="340" spans="2:18" x14ac:dyDescent="0.25">
      <c r="B340" s="413"/>
      <c r="C340" s="395"/>
      <c r="D340" s="395"/>
      <c r="E340" s="395"/>
      <c r="F340" s="395"/>
      <c r="G340" s="1475"/>
      <c r="H340" s="395"/>
      <c r="I340" s="395"/>
      <c r="J340" s="395"/>
      <c r="K340" s="395"/>
      <c r="L340" s="395"/>
      <c r="M340" s="1484"/>
      <c r="N340" s="395"/>
      <c r="O340" s="395"/>
      <c r="P340" s="395"/>
      <c r="Q340" s="395"/>
      <c r="R340" s="395"/>
    </row>
    <row r="341" spans="2:18" x14ac:dyDescent="0.25">
      <c r="B341" s="413"/>
      <c r="C341" s="395"/>
      <c r="D341" s="395"/>
      <c r="E341" s="395"/>
      <c r="F341" s="395"/>
      <c r="G341" s="1475"/>
      <c r="H341" s="395"/>
      <c r="I341" s="395"/>
      <c r="J341" s="395"/>
      <c r="K341" s="395"/>
      <c r="L341" s="395"/>
      <c r="M341" s="1484"/>
      <c r="N341" s="395"/>
      <c r="O341" s="395"/>
      <c r="P341" s="395"/>
      <c r="Q341" s="395"/>
      <c r="R341" s="395"/>
    </row>
    <row r="342" spans="2:18" x14ac:dyDescent="0.25">
      <c r="B342" s="413"/>
      <c r="C342" s="395"/>
      <c r="D342" s="395"/>
      <c r="E342" s="395"/>
      <c r="F342" s="395"/>
      <c r="G342" s="1475"/>
      <c r="H342" s="395"/>
      <c r="I342" s="395"/>
      <c r="J342" s="395"/>
      <c r="K342" s="395"/>
      <c r="L342" s="395"/>
      <c r="M342" s="1484"/>
      <c r="N342" s="395"/>
      <c r="O342" s="395"/>
      <c r="P342" s="395"/>
      <c r="Q342" s="395"/>
      <c r="R342" s="395"/>
    </row>
    <row r="343" spans="2:18" x14ac:dyDescent="0.25">
      <c r="B343" s="413"/>
      <c r="C343" s="395"/>
      <c r="D343" s="395"/>
      <c r="E343" s="395"/>
      <c r="F343" s="395"/>
      <c r="G343" s="1475"/>
      <c r="H343" s="395"/>
      <c r="I343" s="395"/>
      <c r="J343" s="395"/>
      <c r="K343" s="395"/>
      <c r="L343" s="395"/>
      <c r="M343" s="1484"/>
      <c r="N343" s="395"/>
      <c r="O343" s="395"/>
      <c r="P343" s="395"/>
      <c r="Q343" s="395"/>
      <c r="R343" s="395"/>
    </row>
    <row r="344" spans="2:18" x14ac:dyDescent="0.25">
      <c r="B344" s="413"/>
      <c r="C344" s="395"/>
      <c r="D344" s="395"/>
      <c r="E344" s="395"/>
      <c r="F344" s="395"/>
      <c r="G344" s="1475"/>
      <c r="H344" s="395"/>
      <c r="I344" s="395"/>
      <c r="J344" s="395"/>
      <c r="K344" s="395"/>
      <c r="L344" s="395"/>
      <c r="M344" s="1484"/>
      <c r="N344" s="395"/>
      <c r="O344" s="395"/>
      <c r="P344" s="395"/>
      <c r="Q344" s="395"/>
      <c r="R344" s="395"/>
    </row>
    <row r="345" spans="2:18" x14ac:dyDescent="0.25">
      <c r="B345" s="413"/>
      <c r="C345" s="395"/>
      <c r="D345" s="395"/>
      <c r="E345" s="395"/>
      <c r="F345" s="395"/>
      <c r="G345" s="1475"/>
      <c r="H345" s="395"/>
      <c r="I345" s="395"/>
      <c r="J345" s="395"/>
      <c r="K345" s="395"/>
      <c r="L345" s="395"/>
      <c r="M345" s="1484"/>
      <c r="N345" s="395"/>
      <c r="O345" s="395"/>
      <c r="P345" s="395"/>
      <c r="Q345" s="395"/>
      <c r="R345" s="395"/>
    </row>
    <row r="346" spans="2:18" x14ac:dyDescent="0.25">
      <c r="B346" s="413"/>
      <c r="C346" s="395"/>
      <c r="D346" s="395"/>
      <c r="E346" s="395"/>
      <c r="F346" s="395"/>
      <c r="G346" s="1475"/>
      <c r="H346" s="395"/>
      <c r="I346" s="395"/>
      <c r="J346" s="395"/>
      <c r="K346" s="395"/>
      <c r="L346" s="395"/>
      <c r="M346" s="1484"/>
      <c r="N346" s="395"/>
      <c r="O346" s="395"/>
      <c r="P346" s="395"/>
      <c r="Q346" s="395"/>
      <c r="R346" s="395"/>
    </row>
    <row r="347" spans="2:18" x14ac:dyDescent="0.25">
      <c r="B347" s="413"/>
      <c r="C347" s="395"/>
      <c r="D347" s="395"/>
      <c r="E347" s="395"/>
      <c r="F347" s="395"/>
      <c r="G347" s="1475"/>
      <c r="H347" s="395"/>
      <c r="I347" s="395"/>
      <c r="J347" s="395"/>
      <c r="K347" s="395"/>
      <c r="L347" s="395"/>
      <c r="M347" s="1484"/>
      <c r="N347" s="395"/>
      <c r="O347" s="395"/>
      <c r="P347" s="395"/>
      <c r="Q347" s="395"/>
      <c r="R347" s="395"/>
    </row>
    <row r="348" spans="2:18" x14ac:dyDescent="0.25">
      <c r="B348" s="413"/>
      <c r="C348" s="395"/>
      <c r="D348" s="395"/>
      <c r="E348" s="395"/>
      <c r="F348" s="395"/>
      <c r="G348" s="1475"/>
      <c r="H348" s="395"/>
      <c r="I348" s="395"/>
      <c r="J348" s="395"/>
      <c r="K348" s="395"/>
      <c r="L348" s="395"/>
      <c r="M348" s="1484"/>
      <c r="N348" s="395"/>
      <c r="O348" s="395"/>
      <c r="P348" s="395"/>
      <c r="Q348" s="395"/>
      <c r="R348" s="395"/>
    </row>
    <row r="349" spans="2:18" x14ac:dyDescent="0.25">
      <c r="B349" s="413"/>
      <c r="C349" s="395"/>
      <c r="D349" s="395"/>
      <c r="E349" s="395"/>
      <c r="F349" s="395"/>
      <c r="G349" s="1475"/>
      <c r="H349" s="395"/>
      <c r="I349" s="395"/>
      <c r="J349" s="395"/>
      <c r="K349" s="395"/>
      <c r="L349" s="395"/>
      <c r="M349" s="1484"/>
      <c r="N349" s="395"/>
      <c r="O349" s="395"/>
      <c r="P349" s="395"/>
      <c r="Q349" s="395"/>
      <c r="R349" s="395"/>
    </row>
    <row r="350" spans="2:18" x14ac:dyDescent="0.25">
      <c r="B350" s="413"/>
      <c r="C350" s="395"/>
      <c r="D350" s="395"/>
      <c r="E350" s="395"/>
      <c r="F350" s="395"/>
      <c r="G350" s="1475"/>
      <c r="H350" s="395"/>
      <c r="I350" s="395"/>
      <c r="J350" s="395"/>
      <c r="K350" s="395"/>
      <c r="L350" s="395"/>
      <c r="M350" s="1484"/>
      <c r="N350" s="395"/>
      <c r="O350" s="395"/>
      <c r="P350" s="395"/>
      <c r="Q350" s="395"/>
      <c r="R350" s="395"/>
    </row>
    <row r="351" spans="2:18" x14ac:dyDescent="0.25">
      <c r="B351" s="413"/>
      <c r="C351" s="395"/>
      <c r="D351" s="395"/>
      <c r="E351" s="395"/>
      <c r="F351" s="395"/>
      <c r="G351" s="1475"/>
      <c r="H351" s="395"/>
      <c r="I351" s="395"/>
      <c r="J351" s="395"/>
      <c r="K351" s="395"/>
      <c r="L351" s="395"/>
      <c r="M351" s="1484"/>
      <c r="N351" s="395"/>
      <c r="O351" s="395"/>
      <c r="P351" s="395"/>
      <c r="Q351" s="395"/>
      <c r="R351" s="395"/>
    </row>
    <row r="352" spans="2:18" x14ac:dyDescent="0.25">
      <c r="B352" s="413"/>
      <c r="C352" s="395"/>
      <c r="D352" s="395"/>
      <c r="E352" s="395"/>
      <c r="F352" s="395"/>
      <c r="G352" s="1475"/>
      <c r="H352" s="395"/>
      <c r="I352" s="395"/>
      <c r="J352" s="395"/>
      <c r="K352" s="395"/>
      <c r="L352" s="395"/>
      <c r="M352" s="1484"/>
      <c r="N352" s="395"/>
      <c r="O352" s="395"/>
      <c r="P352" s="395"/>
      <c r="Q352" s="395"/>
      <c r="R352" s="395"/>
    </row>
    <row r="353" spans="2:18" x14ac:dyDescent="0.25">
      <c r="B353" s="413"/>
      <c r="C353" s="395"/>
      <c r="D353" s="395"/>
      <c r="E353" s="395"/>
      <c r="F353" s="395"/>
      <c r="G353" s="1475"/>
      <c r="H353" s="395"/>
      <c r="I353" s="395"/>
      <c r="J353" s="395"/>
      <c r="K353" s="395"/>
      <c r="L353" s="395"/>
      <c r="M353" s="1484"/>
      <c r="N353" s="395"/>
      <c r="O353" s="395"/>
      <c r="P353" s="395"/>
      <c r="Q353" s="395"/>
      <c r="R353" s="395"/>
    </row>
    <row r="354" spans="2:18" x14ac:dyDescent="0.25">
      <c r="B354" s="413"/>
      <c r="C354" s="395"/>
      <c r="D354" s="395"/>
      <c r="E354" s="395"/>
      <c r="F354" s="395"/>
      <c r="G354" s="1475"/>
      <c r="H354" s="395"/>
      <c r="I354" s="395"/>
      <c r="J354" s="395"/>
      <c r="K354" s="395"/>
      <c r="L354" s="395"/>
      <c r="M354" s="1484"/>
      <c r="N354" s="395"/>
      <c r="O354" s="395"/>
      <c r="P354" s="395"/>
      <c r="Q354" s="395"/>
      <c r="R354" s="395"/>
    </row>
    <row r="355" spans="2:18" x14ac:dyDescent="0.25">
      <c r="B355" s="413"/>
      <c r="C355" s="395"/>
      <c r="D355" s="395"/>
      <c r="E355" s="395"/>
      <c r="F355" s="395"/>
      <c r="G355" s="1475"/>
      <c r="H355" s="395"/>
      <c r="I355" s="395"/>
      <c r="J355" s="395"/>
      <c r="K355" s="395"/>
      <c r="L355" s="395"/>
      <c r="M355" s="1484"/>
      <c r="N355" s="395"/>
      <c r="O355" s="395"/>
      <c r="P355" s="395"/>
      <c r="Q355" s="395"/>
      <c r="R355" s="395"/>
    </row>
    <row r="356" spans="2:18" x14ac:dyDescent="0.25">
      <c r="B356" s="413"/>
      <c r="C356" s="395"/>
      <c r="D356" s="395"/>
      <c r="E356" s="395"/>
      <c r="F356" s="395"/>
      <c r="G356" s="1475"/>
      <c r="H356" s="395"/>
      <c r="I356" s="395"/>
      <c r="J356" s="395"/>
      <c r="K356" s="395"/>
      <c r="L356" s="395"/>
      <c r="M356" s="1484"/>
      <c r="N356" s="395"/>
      <c r="O356" s="395"/>
      <c r="P356" s="395"/>
      <c r="Q356" s="395"/>
      <c r="R356" s="395"/>
    </row>
    <row r="357" spans="2:18" x14ac:dyDescent="0.25">
      <c r="B357" s="413"/>
      <c r="C357" s="395"/>
      <c r="D357" s="395"/>
      <c r="E357" s="395"/>
      <c r="F357" s="395"/>
      <c r="G357" s="1475"/>
      <c r="H357" s="395"/>
      <c r="I357" s="395"/>
      <c r="J357" s="395"/>
      <c r="K357" s="395"/>
      <c r="L357" s="395"/>
      <c r="M357" s="1484"/>
      <c r="N357" s="395"/>
      <c r="O357" s="395"/>
      <c r="P357" s="395"/>
      <c r="Q357" s="395"/>
      <c r="R357" s="395"/>
    </row>
    <row r="358" spans="2:18" x14ac:dyDescent="0.25">
      <c r="B358" s="413"/>
      <c r="C358" s="395"/>
      <c r="D358" s="395"/>
      <c r="E358" s="395"/>
      <c r="F358" s="395"/>
      <c r="G358" s="1475"/>
      <c r="H358" s="395"/>
      <c r="I358" s="395"/>
      <c r="J358" s="395"/>
      <c r="K358" s="395"/>
      <c r="L358" s="395"/>
      <c r="M358" s="1484"/>
      <c r="N358" s="395"/>
      <c r="O358" s="395"/>
      <c r="P358" s="395"/>
      <c r="Q358" s="395"/>
      <c r="R358" s="395"/>
    </row>
    <row r="359" spans="2:18" x14ac:dyDescent="0.25">
      <c r="B359" s="413"/>
      <c r="C359" s="395"/>
      <c r="D359" s="395"/>
      <c r="E359" s="395"/>
      <c r="F359" s="395"/>
      <c r="G359" s="1475"/>
      <c r="H359" s="395"/>
      <c r="I359" s="395"/>
      <c r="J359" s="395"/>
      <c r="K359" s="395"/>
      <c r="L359" s="395"/>
      <c r="M359" s="1484"/>
      <c r="N359" s="395"/>
      <c r="O359" s="395"/>
      <c r="P359" s="395"/>
      <c r="Q359" s="395"/>
      <c r="R359" s="395"/>
    </row>
    <row r="360" spans="2:18" x14ac:dyDescent="0.25">
      <c r="B360" s="413"/>
      <c r="C360" s="395"/>
      <c r="D360" s="395"/>
      <c r="E360" s="395"/>
      <c r="F360" s="395"/>
      <c r="G360" s="1475"/>
      <c r="H360" s="395"/>
      <c r="I360" s="395"/>
      <c r="J360" s="395"/>
      <c r="K360" s="395"/>
      <c r="L360" s="395"/>
      <c r="M360" s="1484"/>
      <c r="N360" s="395"/>
      <c r="O360" s="395"/>
      <c r="P360" s="395"/>
      <c r="Q360" s="395"/>
      <c r="R360" s="395"/>
    </row>
    <row r="361" spans="2:18" x14ac:dyDescent="0.25">
      <c r="B361" s="413"/>
      <c r="C361" s="395"/>
      <c r="D361" s="395"/>
      <c r="E361" s="395"/>
      <c r="F361" s="395"/>
      <c r="G361" s="1475"/>
      <c r="H361" s="395"/>
      <c r="I361" s="395"/>
      <c r="J361" s="395"/>
      <c r="K361" s="395"/>
      <c r="L361" s="395"/>
      <c r="M361" s="1484"/>
      <c r="N361" s="395"/>
      <c r="O361" s="395"/>
      <c r="P361" s="395"/>
      <c r="Q361" s="395"/>
      <c r="R361" s="395"/>
    </row>
    <row r="362" spans="2:18" x14ac:dyDescent="0.25">
      <c r="B362" s="413"/>
      <c r="C362" s="395"/>
      <c r="D362" s="395"/>
      <c r="E362" s="395"/>
      <c r="F362" s="395"/>
      <c r="G362" s="1475"/>
      <c r="H362" s="395"/>
      <c r="I362" s="395"/>
      <c r="J362" s="395"/>
      <c r="K362" s="395"/>
      <c r="L362" s="395"/>
      <c r="M362" s="1484"/>
      <c r="N362" s="395"/>
      <c r="O362" s="395"/>
      <c r="P362" s="395"/>
      <c r="Q362" s="395"/>
      <c r="R362" s="395"/>
    </row>
    <row r="363" spans="2:18" x14ac:dyDescent="0.25">
      <c r="B363" s="413"/>
      <c r="C363" s="395"/>
      <c r="D363" s="395"/>
      <c r="E363" s="395"/>
      <c r="F363" s="395"/>
      <c r="G363" s="1475"/>
      <c r="H363" s="395"/>
      <c r="I363" s="395"/>
      <c r="J363" s="395"/>
      <c r="K363" s="395"/>
      <c r="L363" s="395"/>
      <c r="M363" s="1484"/>
      <c r="N363" s="395"/>
      <c r="O363" s="395"/>
      <c r="P363" s="395"/>
      <c r="Q363" s="395"/>
      <c r="R363" s="395"/>
    </row>
    <row r="364" spans="2:18" x14ac:dyDescent="0.25">
      <c r="B364" s="413"/>
      <c r="C364" s="395"/>
      <c r="D364" s="395"/>
      <c r="E364" s="395"/>
      <c r="F364" s="395"/>
      <c r="G364" s="1475"/>
      <c r="H364" s="395"/>
      <c r="I364" s="395"/>
      <c r="J364" s="395"/>
      <c r="K364" s="395"/>
      <c r="L364" s="395"/>
      <c r="M364" s="1484"/>
      <c r="N364" s="395"/>
      <c r="O364" s="395"/>
      <c r="P364" s="395"/>
      <c r="Q364" s="395"/>
      <c r="R364" s="395"/>
    </row>
    <row r="365" spans="2:18" x14ac:dyDescent="0.25">
      <c r="B365" s="413"/>
      <c r="C365" s="395"/>
      <c r="D365" s="395"/>
      <c r="E365" s="395"/>
      <c r="F365" s="395"/>
      <c r="H365" s="395"/>
      <c r="I365" s="395"/>
      <c r="J365" s="395"/>
      <c r="K365" s="395"/>
      <c r="L365" s="395"/>
      <c r="N365" s="395"/>
      <c r="O365" s="395"/>
      <c r="P365" s="395"/>
      <c r="Q365" s="395"/>
      <c r="R365" s="395"/>
    </row>
    <row r="366" spans="2:18" x14ac:dyDescent="0.25">
      <c r="B366" s="413"/>
      <c r="C366" s="395"/>
      <c r="D366" s="395"/>
      <c r="E366" s="395"/>
      <c r="F366" s="395"/>
      <c r="H366" s="395"/>
      <c r="I366" s="395"/>
      <c r="J366" s="395"/>
      <c r="K366" s="395"/>
      <c r="L366" s="395"/>
      <c r="N366" s="395"/>
      <c r="O366" s="395"/>
      <c r="P366" s="395"/>
      <c r="Q366" s="395"/>
      <c r="R366" s="395"/>
    </row>
    <row r="367" spans="2:18" x14ac:dyDescent="0.25">
      <c r="B367" s="413"/>
      <c r="C367" s="395"/>
      <c r="D367" s="395"/>
      <c r="E367" s="395"/>
      <c r="F367" s="395"/>
      <c r="H367" s="395"/>
      <c r="I367" s="395"/>
      <c r="J367" s="395"/>
      <c r="K367" s="395"/>
      <c r="L367" s="395"/>
      <c r="N367" s="395"/>
      <c r="O367" s="395"/>
      <c r="P367" s="395"/>
      <c r="Q367" s="395"/>
      <c r="R367" s="395"/>
    </row>
    <row r="368" spans="2:18" x14ac:dyDescent="0.25">
      <c r="B368" s="413"/>
      <c r="C368" s="395"/>
      <c r="D368" s="395"/>
      <c r="E368" s="395"/>
      <c r="F368" s="395"/>
      <c r="H368" s="395"/>
      <c r="I368" s="395"/>
      <c r="J368" s="395"/>
      <c r="K368" s="395"/>
      <c r="L368" s="395"/>
      <c r="N368" s="395"/>
      <c r="O368" s="395"/>
      <c r="P368" s="395"/>
      <c r="Q368" s="395"/>
      <c r="R368" s="395"/>
    </row>
    <row r="369" spans="2:18" x14ac:dyDescent="0.25">
      <c r="B369" s="413"/>
      <c r="C369" s="395"/>
      <c r="D369" s="395"/>
      <c r="E369" s="395"/>
      <c r="F369" s="395"/>
      <c r="H369" s="395"/>
      <c r="I369" s="395"/>
      <c r="J369" s="395"/>
      <c r="K369" s="395"/>
      <c r="L369" s="395"/>
      <c r="N369" s="395"/>
      <c r="O369" s="395"/>
      <c r="P369" s="395"/>
      <c r="Q369" s="395"/>
      <c r="R369" s="395"/>
    </row>
    <row r="370" spans="2:18" x14ac:dyDescent="0.25">
      <c r="B370" s="413"/>
      <c r="C370" s="395"/>
      <c r="D370" s="395"/>
      <c r="E370" s="395"/>
      <c r="F370" s="395"/>
      <c r="H370" s="395"/>
      <c r="I370" s="395"/>
      <c r="J370" s="395"/>
      <c r="K370" s="395"/>
      <c r="L370" s="395"/>
      <c r="N370" s="395"/>
      <c r="O370" s="395"/>
      <c r="P370" s="395"/>
      <c r="Q370" s="395"/>
      <c r="R370" s="395"/>
    </row>
    <row r="371" spans="2:18" x14ac:dyDescent="0.25">
      <c r="B371" s="413"/>
      <c r="C371" s="395"/>
      <c r="D371" s="395"/>
      <c r="E371" s="395"/>
      <c r="F371" s="395"/>
      <c r="H371" s="395"/>
      <c r="I371" s="395"/>
      <c r="J371" s="395"/>
      <c r="K371" s="395"/>
      <c r="L371" s="395"/>
      <c r="N371" s="395"/>
      <c r="O371" s="395"/>
      <c r="P371" s="395"/>
      <c r="Q371" s="395"/>
      <c r="R371" s="395"/>
    </row>
    <row r="372" spans="2:18" x14ac:dyDescent="0.25">
      <c r="B372" s="413"/>
      <c r="C372" s="395"/>
      <c r="D372" s="395"/>
      <c r="E372" s="395"/>
      <c r="F372" s="395"/>
      <c r="H372" s="395"/>
      <c r="I372" s="395"/>
      <c r="J372" s="395"/>
      <c r="K372" s="395"/>
      <c r="L372" s="395"/>
      <c r="N372" s="395"/>
      <c r="O372" s="395"/>
      <c r="P372" s="395"/>
      <c r="Q372" s="395"/>
      <c r="R372" s="395"/>
    </row>
    <row r="373" spans="2:18" x14ac:dyDescent="0.25">
      <c r="B373" s="413"/>
      <c r="C373" s="395"/>
      <c r="D373" s="395"/>
      <c r="E373" s="395"/>
      <c r="F373" s="395"/>
      <c r="H373" s="395"/>
      <c r="I373" s="395"/>
      <c r="J373" s="395"/>
      <c r="K373" s="395"/>
      <c r="L373" s="395"/>
      <c r="N373" s="395"/>
      <c r="O373" s="395"/>
      <c r="P373" s="395"/>
      <c r="Q373" s="395"/>
      <c r="R373" s="395"/>
    </row>
    <row r="374" spans="2:18" x14ac:dyDescent="0.25">
      <c r="B374" s="413"/>
      <c r="C374" s="395"/>
      <c r="D374" s="395"/>
      <c r="E374" s="395"/>
      <c r="F374" s="395"/>
      <c r="H374" s="395"/>
      <c r="I374" s="395"/>
      <c r="J374" s="395"/>
      <c r="K374" s="395"/>
      <c r="L374" s="395"/>
      <c r="N374" s="395"/>
      <c r="O374" s="395"/>
      <c r="P374" s="395"/>
      <c r="Q374" s="395"/>
      <c r="R374" s="395"/>
    </row>
    <row r="375" spans="2:18" x14ac:dyDescent="0.25">
      <c r="B375" s="413"/>
      <c r="C375" s="395"/>
      <c r="D375" s="395"/>
      <c r="E375" s="395"/>
      <c r="F375" s="395"/>
      <c r="H375" s="395"/>
      <c r="I375" s="395"/>
      <c r="J375" s="395"/>
      <c r="K375" s="395"/>
      <c r="L375" s="395"/>
      <c r="N375" s="395"/>
      <c r="O375" s="395"/>
      <c r="P375" s="395"/>
      <c r="Q375" s="395"/>
      <c r="R375" s="395"/>
    </row>
    <row r="376" spans="2:18" x14ac:dyDescent="0.25">
      <c r="B376" s="413"/>
      <c r="C376" s="395"/>
      <c r="D376" s="395"/>
      <c r="E376" s="395"/>
      <c r="F376" s="395"/>
      <c r="H376" s="395"/>
      <c r="I376" s="395"/>
      <c r="J376" s="395"/>
      <c r="K376" s="395"/>
      <c r="L376" s="395"/>
      <c r="N376" s="395"/>
      <c r="O376" s="395"/>
      <c r="P376" s="395"/>
      <c r="Q376" s="395"/>
      <c r="R376" s="395"/>
    </row>
    <row r="377" spans="2:18" x14ac:dyDescent="0.25">
      <c r="B377" s="413"/>
      <c r="C377" s="395"/>
      <c r="D377" s="395"/>
      <c r="E377" s="395"/>
      <c r="F377" s="395"/>
      <c r="H377" s="395"/>
      <c r="I377" s="395"/>
      <c r="J377" s="395"/>
      <c r="K377" s="395"/>
      <c r="L377" s="395"/>
      <c r="N377" s="395"/>
      <c r="O377" s="395"/>
      <c r="P377" s="395"/>
      <c r="Q377" s="395"/>
      <c r="R377" s="395"/>
    </row>
    <row r="378" spans="2:18" x14ac:dyDescent="0.25">
      <c r="B378" s="413"/>
      <c r="C378" s="395"/>
      <c r="D378" s="395"/>
      <c r="E378" s="395"/>
      <c r="F378" s="395"/>
      <c r="H378" s="395"/>
      <c r="I378" s="395"/>
      <c r="J378" s="395"/>
      <c r="K378" s="395"/>
      <c r="L378" s="395"/>
      <c r="N378" s="395"/>
      <c r="O378" s="395"/>
      <c r="P378" s="395"/>
      <c r="Q378" s="395"/>
      <c r="R378" s="395"/>
    </row>
    <row r="379" spans="2:18" x14ac:dyDescent="0.25">
      <c r="B379" s="413"/>
      <c r="C379" s="395"/>
      <c r="D379" s="395"/>
      <c r="E379" s="395"/>
      <c r="F379" s="395"/>
      <c r="H379" s="395"/>
      <c r="I379" s="395"/>
      <c r="J379" s="395"/>
      <c r="K379" s="395"/>
      <c r="L379" s="395"/>
      <c r="N379" s="395"/>
      <c r="O379" s="395"/>
      <c r="P379" s="395"/>
      <c r="Q379" s="395"/>
      <c r="R379" s="395"/>
    </row>
    <row r="380" spans="2:18" x14ac:dyDescent="0.25">
      <c r="B380" s="413"/>
      <c r="C380" s="395"/>
      <c r="D380" s="395"/>
      <c r="E380" s="395"/>
      <c r="F380" s="395"/>
      <c r="H380" s="395"/>
      <c r="I380" s="395"/>
      <c r="J380" s="395"/>
      <c r="K380" s="395"/>
      <c r="L380" s="395"/>
      <c r="N380" s="395"/>
      <c r="O380" s="395"/>
      <c r="P380" s="395"/>
      <c r="Q380" s="395"/>
      <c r="R380" s="395"/>
    </row>
    <row r="381" spans="2:18" x14ac:dyDescent="0.25">
      <c r="B381" s="413"/>
      <c r="C381" s="395"/>
      <c r="D381" s="395"/>
      <c r="E381" s="395"/>
      <c r="F381" s="395"/>
      <c r="H381" s="395"/>
      <c r="I381" s="395"/>
      <c r="J381" s="395"/>
      <c r="K381" s="395"/>
      <c r="L381" s="395"/>
      <c r="N381" s="395"/>
      <c r="O381" s="395"/>
      <c r="P381" s="395"/>
      <c r="Q381" s="395"/>
      <c r="R381" s="395"/>
    </row>
    <row r="382" spans="2:18" x14ac:dyDescent="0.25">
      <c r="B382" s="413"/>
      <c r="C382" s="395"/>
      <c r="D382" s="395"/>
      <c r="E382" s="395"/>
      <c r="F382" s="395"/>
      <c r="H382" s="395"/>
      <c r="I382" s="395"/>
      <c r="J382" s="395"/>
      <c r="K382" s="395"/>
      <c r="L382" s="395"/>
      <c r="N382" s="395"/>
      <c r="O382" s="395"/>
      <c r="P382" s="395"/>
      <c r="Q382" s="395"/>
      <c r="R382" s="395"/>
    </row>
    <row r="383" spans="2:18" x14ac:dyDescent="0.25">
      <c r="B383" s="413"/>
      <c r="C383" s="395"/>
      <c r="D383" s="395"/>
      <c r="E383" s="395"/>
      <c r="F383" s="395"/>
      <c r="H383" s="395"/>
      <c r="I383" s="395"/>
      <c r="J383" s="395"/>
      <c r="K383" s="395"/>
      <c r="L383" s="395"/>
      <c r="N383" s="395"/>
      <c r="O383" s="395"/>
      <c r="P383" s="395"/>
      <c r="Q383" s="395"/>
      <c r="R383" s="395"/>
    </row>
    <row r="384" spans="2:18" x14ac:dyDescent="0.25">
      <c r="B384" s="413"/>
      <c r="C384" s="395"/>
      <c r="D384" s="395"/>
      <c r="E384" s="395"/>
      <c r="F384" s="395"/>
      <c r="H384" s="395"/>
      <c r="I384" s="395"/>
      <c r="J384" s="395"/>
      <c r="K384" s="395"/>
      <c r="L384" s="395"/>
      <c r="N384" s="395"/>
      <c r="O384" s="395"/>
      <c r="P384" s="395"/>
      <c r="Q384" s="395"/>
      <c r="R384" s="395"/>
    </row>
    <row r="385" spans="2:18" x14ac:dyDescent="0.25">
      <c r="B385" s="413"/>
      <c r="C385" s="395"/>
      <c r="D385" s="395"/>
      <c r="E385" s="395"/>
      <c r="F385" s="395"/>
      <c r="H385" s="395"/>
      <c r="I385" s="395"/>
      <c r="J385" s="395"/>
      <c r="K385" s="395"/>
      <c r="L385" s="395"/>
      <c r="N385" s="395"/>
      <c r="O385" s="395"/>
      <c r="P385" s="395"/>
      <c r="Q385" s="395"/>
      <c r="R385" s="395"/>
    </row>
    <row r="386" spans="2:18" x14ac:dyDescent="0.25">
      <c r="B386" s="413"/>
      <c r="C386" s="395"/>
      <c r="D386" s="395"/>
      <c r="E386" s="395"/>
      <c r="F386" s="395"/>
      <c r="H386" s="395"/>
      <c r="I386" s="395"/>
      <c r="J386" s="395"/>
      <c r="K386" s="395"/>
      <c r="L386" s="395"/>
      <c r="N386" s="395"/>
      <c r="O386" s="395"/>
      <c r="P386" s="395"/>
      <c r="Q386" s="395"/>
      <c r="R386" s="395"/>
    </row>
    <row r="387" spans="2:18" x14ac:dyDescent="0.25">
      <c r="B387" s="413"/>
      <c r="C387" s="395"/>
      <c r="D387" s="395"/>
      <c r="E387" s="395"/>
      <c r="F387" s="395"/>
      <c r="H387" s="395"/>
      <c r="I387" s="395"/>
      <c r="J387" s="395"/>
      <c r="K387" s="395"/>
      <c r="L387" s="395"/>
      <c r="N387" s="395"/>
      <c r="O387" s="395"/>
      <c r="P387" s="395"/>
      <c r="Q387" s="395"/>
      <c r="R387" s="395"/>
    </row>
    <row r="388" spans="2:18" x14ac:dyDescent="0.25">
      <c r="B388" s="413"/>
      <c r="C388" s="395"/>
      <c r="D388" s="395"/>
      <c r="E388" s="395"/>
      <c r="F388" s="395"/>
      <c r="H388" s="395"/>
      <c r="I388" s="395"/>
      <c r="J388" s="395"/>
      <c r="K388" s="395"/>
      <c r="L388" s="395"/>
      <c r="N388" s="395"/>
      <c r="O388" s="395"/>
      <c r="P388" s="395"/>
      <c r="Q388" s="395"/>
      <c r="R388" s="395"/>
    </row>
    <row r="389" spans="2:18" x14ac:dyDescent="0.25">
      <c r="B389" s="413"/>
      <c r="C389" s="395"/>
      <c r="D389" s="395"/>
      <c r="E389" s="395"/>
      <c r="F389" s="395"/>
      <c r="H389" s="395"/>
      <c r="I389" s="395"/>
      <c r="J389" s="395"/>
      <c r="K389" s="395"/>
      <c r="L389" s="395"/>
      <c r="N389" s="395"/>
      <c r="O389" s="395"/>
      <c r="P389" s="395"/>
      <c r="Q389" s="395"/>
      <c r="R389" s="395"/>
    </row>
    <row r="390" spans="2:18" x14ac:dyDescent="0.25">
      <c r="B390" s="413"/>
      <c r="C390" s="395"/>
      <c r="D390" s="395"/>
      <c r="E390" s="395"/>
      <c r="F390" s="395"/>
      <c r="H390" s="395"/>
      <c r="I390" s="395"/>
      <c r="J390" s="395"/>
      <c r="K390" s="395"/>
      <c r="L390" s="395"/>
      <c r="N390" s="395"/>
      <c r="O390" s="395"/>
      <c r="P390" s="395"/>
      <c r="Q390" s="395"/>
      <c r="R390" s="395"/>
    </row>
    <row r="391" spans="2:18" x14ac:dyDescent="0.25">
      <c r="B391" s="413"/>
      <c r="C391" s="395"/>
      <c r="D391" s="395"/>
      <c r="E391" s="395"/>
      <c r="F391" s="395"/>
      <c r="H391" s="395"/>
      <c r="I391" s="395"/>
      <c r="J391" s="395"/>
      <c r="K391" s="395"/>
      <c r="L391" s="395"/>
      <c r="N391" s="395"/>
      <c r="O391" s="395"/>
      <c r="P391" s="395"/>
      <c r="Q391" s="395"/>
      <c r="R391" s="395"/>
    </row>
    <row r="392" spans="2:18" x14ac:dyDescent="0.25">
      <c r="B392" s="413"/>
      <c r="C392" s="395"/>
      <c r="D392" s="395"/>
      <c r="E392" s="395"/>
      <c r="F392" s="395"/>
      <c r="H392" s="395"/>
      <c r="I392" s="395"/>
      <c r="J392" s="395"/>
      <c r="K392" s="395"/>
      <c r="L392" s="395"/>
      <c r="N392" s="395"/>
      <c r="O392" s="395"/>
      <c r="P392" s="395"/>
      <c r="Q392" s="395"/>
      <c r="R392" s="395"/>
    </row>
    <row r="393" spans="2:18" x14ac:dyDescent="0.25">
      <c r="B393" s="413"/>
      <c r="C393" s="395"/>
      <c r="D393" s="395"/>
      <c r="E393" s="395"/>
      <c r="F393" s="395"/>
      <c r="H393" s="395"/>
      <c r="I393" s="395"/>
      <c r="J393" s="395"/>
      <c r="K393" s="395"/>
      <c r="L393" s="395"/>
      <c r="N393" s="395"/>
      <c r="O393" s="395"/>
      <c r="P393" s="395"/>
      <c r="Q393" s="395"/>
      <c r="R393" s="395"/>
    </row>
    <row r="394" spans="2:18" x14ac:dyDescent="0.25">
      <c r="B394" s="413"/>
      <c r="C394" s="395"/>
      <c r="D394" s="395"/>
      <c r="E394" s="395"/>
      <c r="F394" s="395"/>
      <c r="H394" s="395"/>
      <c r="I394" s="395"/>
      <c r="J394" s="395"/>
      <c r="K394" s="395"/>
      <c r="L394" s="395"/>
      <c r="N394" s="395"/>
      <c r="O394" s="395"/>
      <c r="P394" s="395"/>
      <c r="Q394" s="395"/>
      <c r="R394" s="395"/>
    </row>
    <row r="395" spans="2:18" x14ac:dyDescent="0.25">
      <c r="B395" s="413"/>
      <c r="C395" s="395"/>
      <c r="D395" s="395"/>
      <c r="E395" s="395"/>
      <c r="F395" s="395"/>
      <c r="H395" s="395"/>
      <c r="I395" s="395"/>
      <c r="J395" s="395"/>
      <c r="K395" s="395"/>
      <c r="L395" s="395"/>
      <c r="N395" s="395"/>
      <c r="O395" s="395"/>
      <c r="P395" s="395"/>
      <c r="Q395" s="395"/>
      <c r="R395" s="395"/>
    </row>
    <row r="396" spans="2:18" x14ac:dyDescent="0.25">
      <c r="B396" s="413"/>
      <c r="C396" s="395"/>
      <c r="D396" s="395"/>
      <c r="E396" s="395"/>
      <c r="F396" s="395"/>
      <c r="H396" s="395"/>
      <c r="I396" s="395"/>
      <c r="J396" s="395"/>
      <c r="K396" s="395"/>
      <c r="L396" s="395"/>
      <c r="N396" s="395"/>
      <c r="O396" s="395"/>
      <c r="P396" s="395"/>
      <c r="Q396" s="395"/>
      <c r="R396" s="395"/>
    </row>
    <row r="397" spans="2:18" x14ac:dyDescent="0.25">
      <c r="B397" s="413"/>
      <c r="C397" s="395"/>
      <c r="D397" s="395"/>
      <c r="E397" s="395"/>
      <c r="F397" s="395"/>
      <c r="H397" s="395"/>
      <c r="I397" s="395"/>
      <c r="J397" s="395"/>
      <c r="K397" s="395"/>
      <c r="L397" s="395"/>
      <c r="N397" s="395"/>
      <c r="O397" s="395"/>
      <c r="P397" s="395"/>
      <c r="Q397" s="395"/>
      <c r="R397" s="395"/>
    </row>
    <row r="398" spans="2:18" x14ac:dyDescent="0.25">
      <c r="B398" s="413"/>
      <c r="C398" s="395"/>
      <c r="D398" s="395"/>
      <c r="E398" s="395"/>
      <c r="F398" s="395"/>
      <c r="H398" s="395"/>
      <c r="I398" s="395"/>
      <c r="J398" s="395"/>
      <c r="K398" s="395"/>
      <c r="L398" s="395"/>
      <c r="N398" s="395"/>
      <c r="O398" s="395"/>
      <c r="P398" s="395"/>
      <c r="Q398" s="395"/>
      <c r="R398" s="395"/>
    </row>
    <row r="399" spans="2:18" x14ac:dyDescent="0.25">
      <c r="B399" s="413"/>
      <c r="C399" s="395"/>
      <c r="D399" s="395"/>
      <c r="E399" s="395"/>
      <c r="F399" s="395"/>
      <c r="H399" s="395"/>
      <c r="I399" s="395"/>
      <c r="J399" s="395"/>
      <c r="K399" s="395"/>
      <c r="L399" s="395"/>
      <c r="N399" s="395"/>
      <c r="O399" s="395"/>
      <c r="P399" s="395"/>
      <c r="Q399" s="395"/>
      <c r="R399" s="395"/>
    </row>
    <row r="400" spans="2:18" x14ac:dyDescent="0.25">
      <c r="B400" s="413"/>
      <c r="C400" s="395"/>
      <c r="D400" s="395"/>
      <c r="E400" s="395"/>
      <c r="F400" s="395"/>
      <c r="H400" s="395"/>
      <c r="I400" s="395"/>
      <c r="J400" s="395"/>
      <c r="K400" s="395"/>
      <c r="L400" s="395"/>
      <c r="N400" s="395"/>
      <c r="O400" s="395"/>
      <c r="P400" s="395"/>
      <c r="Q400" s="395"/>
      <c r="R400" s="395"/>
    </row>
    <row r="401" spans="2:18" x14ac:dyDescent="0.25">
      <c r="B401" s="413"/>
      <c r="C401" s="395"/>
      <c r="D401" s="395"/>
      <c r="E401" s="395"/>
      <c r="F401" s="395"/>
      <c r="H401" s="395"/>
      <c r="I401" s="395"/>
      <c r="J401" s="395"/>
      <c r="K401" s="395"/>
      <c r="L401" s="395"/>
      <c r="N401" s="395"/>
      <c r="O401" s="395"/>
      <c r="P401" s="395"/>
      <c r="Q401" s="395"/>
      <c r="R401" s="395"/>
    </row>
    <row r="402" spans="2:18" x14ac:dyDescent="0.25">
      <c r="B402" s="413"/>
      <c r="C402" s="395"/>
      <c r="D402" s="395"/>
      <c r="E402" s="395"/>
      <c r="F402" s="395"/>
      <c r="H402" s="395"/>
      <c r="I402" s="395"/>
      <c r="J402" s="395"/>
      <c r="K402" s="395"/>
      <c r="L402" s="395"/>
      <c r="N402" s="395"/>
      <c r="O402" s="395"/>
      <c r="P402" s="395"/>
      <c r="Q402" s="395"/>
      <c r="R402" s="395"/>
    </row>
    <row r="403" spans="2:18" x14ac:dyDescent="0.25">
      <c r="B403" s="413"/>
      <c r="C403" s="395"/>
      <c r="D403" s="395"/>
      <c r="E403" s="395"/>
      <c r="F403" s="395"/>
      <c r="H403" s="395"/>
      <c r="I403" s="395"/>
      <c r="J403" s="395"/>
      <c r="K403" s="395"/>
      <c r="L403" s="395"/>
      <c r="N403" s="395"/>
      <c r="O403" s="395"/>
      <c r="P403" s="395"/>
      <c r="Q403" s="395"/>
      <c r="R403" s="395"/>
    </row>
    <row r="404" spans="2:18" x14ac:dyDescent="0.25">
      <c r="B404" s="413"/>
      <c r="C404" s="395"/>
      <c r="D404" s="395"/>
      <c r="E404" s="395"/>
      <c r="F404" s="395"/>
      <c r="H404" s="395"/>
      <c r="I404" s="395"/>
      <c r="J404" s="395"/>
      <c r="K404" s="395"/>
      <c r="L404" s="395"/>
      <c r="N404" s="395"/>
      <c r="O404" s="395"/>
      <c r="P404" s="395"/>
      <c r="Q404" s="395"/>
      <c r="R404" s="395"/>
    </row>
    <row r="405" spans="2:18" x14ac:dyDescent="0.25">
      <c r="B405" s="413"/>
      <c r="C405" s="395"/>
      <c r="D405" s="395"/>
      <c r="E405" s="395"/>
      <c r="F405" s="395"/>
      <c r="H405" s="395"/>
      <c r="I405" s="395"/>
      <c r="J405" s="395"/>
      <c r="K405" s="395"/>
      <c r="L405" s="395"/>
      <c r="N405" s="395"/>
      <c r="O405" s="395"/>
      <c r="P405" s="395"/>
      <c r="Q405" s="395"/>
      <c r="R405" s="395"/>
    </row>
    <row r="406" spans="2:18" x14ac:dyDescent="0.25">
      <c r="B406" s="413"/>
      <c r="C406" s="395"/>
      <c r="D406" s="395"/>
      <c r="E406" s="395"/>
      <c r="F406" s="395"/>
      <c r="H406" s="395"/>
      <c r="I406" s="395"/>
      <c r="J406" s="395"/>
      <c r="K406" s="395"/>
      <c r="L406" s="395"/>
      <c r="N406" s="395"/>
      <c r="O406" s="395"/>
      <c r="P406" s="395"/>
      <c r="Q406" s="395"/>
      <c r="R406" s="395"/>
    </row>
    <row r="407" spans="2:18" x14ac:dyDescent="0.25">
      <c r="B407" s="413"/>
      <c r="C407" s="395"/>
      <c r="D407" s="395"/>
      <c r="E407" s="395"/>
      <c r="F407" s="395"/>
      <c r="H407" s="395"/>
      <c r="I407" s="395"/>
      <c r="J407" s="395"/>
      <c r="K407" s="395"/>
      <c r="L407" s="395"/>
      <c r="N407" s="395"/>
      <c r="O407" s="395"/>
      <c r="P407" s="395"/>
      <c r="Q407" s="395"/>
      <c r="R407" s="395"/>
    </row>
    <row r="408" spans="2:18" x14ac:dyDescent="0.25">
      <c r="B408" s="413"/>
      <c r="C408" s="395"/>
      <c r="D408" s="395"/>
      <c r="E408" s="395"/>
      <c r="F408" s="395"/>
      <c r="H408" s="395"/>
      <c r="I408" s="395"/>
      <c r="J408" s="395"/>
      <c r="K408" s="395"/>
      <c r="L408" s="395"/>
      <c r="N408" s="395"/>
      <c r="O408" s="395"/>
      <c r="P408" s="395"/>
      <c r="Q408" s="395"/>
      <c r="R408" s="395"/>
    </row>
    <row r="409" spans="2:18" x14ac:dyDescent="0.25">
      <c r="B409" s="413"/>
      <c r="C409" s="395"/>
      <c r="D409" s="395"/>
      <c r="E409" s="395"/>
      <c r="F409" s="395"/>
      <c r="H409" s="395"/>
      <c r="I409" s="395"/>
      <c r="J409" s="395"/>
      <c r="K409" s="395"/>
      <c r="L409" s="395"/>
      <c r="N409" s="395"/>
      <c r="O409" s="395"/>
      <c r="P409" s="395"/>
      <c r="Q409" s="395"/>
      <c r="R409" s="395"/>
    </row>
    <row r="410" spans="2:18" x14ac:dyDescent="0.25">
      <c r="B410" s="413"/>
      <c r="C410" s="395"/>
      <c r="D410" s="395"/>
      <c r="E410" s="395"/>
      <c r="F410" s="395"/>
      <c r="H410" s="395"/>
      <c r="I410" s="395"/>
      <c r="J410" s="395"/>
      <c r="K410" s="395"/>
      <c r="L410" s="395"/>
      <c r="N410" s="395"/>
      <c r="O410" s="395"/>
      <c r="P410" s="395"/>
      <c r="Q410" s="395"/>
      <c r="R410" s="395"/>
    </row>
    <row r="411" spans="2:18" x14ac:dyDescent="0.25">
      <c r="B411" s="413"/>
      <c r="C411" s="395"/>
      <c r="D411" s="395"/>
      <c r="E411" s="395"/>
      <c r="F411" s="395"/>
      <c r="H411" s="395"/>
      <c r="I411" s="395"/>
      <c r="J411" s="395"/>
      <c r="K411" s="395"/>
      <c r="L411" s="395"/>
      <c r="N411" s="395"/>
      <c r="O411" s="395"/>
      <c r="P411" s="395"/>
      <c r="Q411" s="395"/>
      <c r="R411" s="395"/>
    </row>
    <row r="412" spans="2:18" x14ac:dyDescent="0.25">
      <c r="B412" s="413"/>
      <c r="C412" s="395"/>
      <c r="D412" s="395"/>
      <c r="E412" s="395"/>
      <c r="F412" s="395"/>
      <c r="H412" s="395"/>
      <c r="I412" s="395"/>
      <c r="J412" s="395"/>
      <c r="K412" s="395"/>
      <c r="L412" s="395"/>
      <c r="N412" s="395"/>
      <c r="O412" s="395"/>
      <c r="P412" s="395"/>
      <c r="Q412" s="395"/>
      <c r="R412" s="395"/>
    </row>
    <row r="413" spans="2:18" x14ac:dyDescent="0.25">
      <c r="B413" s="413"/>
      <c r="C413" s="395"/>
      <c r="D413" s="395"/>
      <c r="E413" s="395"/>
      <c r="F413" s="395"/>
      <c r="H413" s="395"/>
      <c r="I413" s="395"/>
      <c r="J413" s="395"/>
      <c r="K413" s="395"/>
      <c r="L413" s="395"/>
      <c r="N413" s="395"/>
      <c r="O413" s="395"/>
      <c r="P413" s="395"/>
      <c r="Q413" s="395"/>
      <c r="R413" s="395"/>
    </row>
    <row r="414" spans="2:18" x14ac:dyDescent="0.25">
      <c r="B414" s="413"/>
      <c r="C414" s="395"/>
      <c r="D414" s="395"/>
      <c r="E414" s="395"/>
      <c r="F414" s="395"/>
      <c r="H414" s="395"/>
      <c r="I414" s="395"/>
      <c r="J414" s="395"/>
      <c r="K414" s="395"/>
      <c r="L414" s="395"/>
      <c r="N414" s="395"/>
      <c r="O414" s="395"/>
      <c r="P414" s="395"/>
      <c r="Q414" s="395"/>
      <c r="R414" s="395"/>
    </row>
    <row r="415" spans="2:18" x14ac:dyDescent="0.25">
      <c r="B415" s="413"/>
      <c r="C415" s="395"/>
      <c r="D415" s="395"/>
      <c r="E415" s="395"/>
      <c r="F415" s="395"/>
      <c r="H415" s="395"/>
      <c r="I415" s="395"/>
      <c r="J415" s="395"/>
      <c r="K415" s="395"/>
      <c r="L415" s="395"/>
      <c r="N415" s="395"/>
      <c r="O415" s="395"/>
      <c r="P415" s="395"/>
      <c r="Q415" s="395"/>
      <c r="R415" s="395"/>
    </row>
    <row r="416" spans="2:18" x14ac:dyDescent="0.25">
      <c r="B416" s="413"/>
      <c r="C416" s="395"/>
      <c r="D416" s="395"/>
      <c r="E416" s="395"/>
      <c r="F416" s="395"/>
      <c r="H416" s="395"/>
      <c r="I416" s="395"/>
      <c r="J416" s="395"/>
      <c r="K416" s="395"/>
      <c r="L416" s="395"/>
      <c r="N416" s="395"/>
      <c r="O416" s="395"/>
      <c r="P416" s="395"/>
      <c r="Q416" s="395"/>
      <c r="R416" s="395"/>
    </row>
    <row r="417" spans="2:18" x14ac:dyDescent="0.25">
      <c r="B417" s="413"/>
      <c r="C417" s="395"/>
      <c r="D417" s="395"/>
      <c r="E417" s="395"/>
      <c r="F417" s="395"/>
      <c r="H417" s="395"/>
      <c r="I417" s="395"/>
      <c r="J417" s="395"/>
      <c r="K417" s="395"/>
      <c r="L417" s="395"/>
      <c r="N417" s="395"/>
      <c r="O417" s="395"/>
      <c r="P417" s="395"/>
      <c r="Q417" s="395"/>
      <c r="R417" s="395"/>
    </row>
    <row r="418" spans="2:18" x14ac:dyDescent="0.25">
      <c r="B418" s="413"/>
      <c r="C418" s="395"/>
      <c r="D418" s="395"/>
      <c r="E418" s="395"/>
      <c r="F418" s="395"/>
      <c r="H418" s="395"/>
      <c r="I418" s="395"/>
      <c r="J418" s="395"/>
      <c r="K418" s="395"/>
      <c r="L418" s="395"/>
      <c r="N418" s="395"/>
      <c r="O418" s="395"/>
      <c r="P418" s="395"/>
      <c r="Q418" s="395"/>
      <c r="R418" s="395"/>
    </row>
    <row r="419" spans="2:18" x14ac:dyDescent="0.25">
      <c r="B419" s="413"/>
      <c r="C419" s="395"/>
      <c r="D419" s="395"/>
      <c r="E419" s="395"/>
      <c r="F419" s="395"/>
      <c r="H419" s="395"/>
      <c r="I419" s="395"/>
      <c r="J419" s="395"/>
      <c r="K419" s="395"/>
      <c r="L419" s="395"/>
      <c r="N419" s="395"/>
      <c r="O419" s="395"/>
      <c r="P419" s="395"/>
      <c r="Q419" s="395"/>
      <c r="R419" s="395"/>
    </row>
    <row r="420" spans="2:18" x14ac:dyDescent="0.25">
      <c r="B420" s="413"/>
      <c r="C420" s="395"/>
      <c r="D420" s="395"/>
      <c r="E420" s="395"/>
      <c r="F420" s="395"/>
      <c r="H420" s="395"/>
      <c r="I420" s="395"/>
      <c r="J420" s="395"/>
      <c r="K420" s="395"/>
      <c r="L420" s="395"/>
      <c r="N420" s="395"/>
      <c r="O420" s="395"/>
      <c r="P420" s="395"/>
      <c r="Q420" s="395"/>
      <c r="R420" s="395"/>
    </row>
    <row r="421" spans="2:18" x14ac:dyDescent="0.25">
      <c r="B421" s="413"/>
      <c r="C421" s="395"/>
      <c r="D421" s="395"/>
      <c r="E421" s="395"/>
      <c r="F421" s="395"/>
      <c r="H421" s="395"/>
      <c r="I421" s="395"/>
      <c r="J421" s="395"/>
      <c r="K421" s="395"/>
      <c r="L421" s="395"/>
      <c r="N421" s="395"/>
      <c r="O421" s="395"/>
      <c r="P421" s="395"/>
      <c r="Q421" s="395"/>
      <c r="R421" s="395"/>
    </row>
    <row r="422" spans="2:18" x14ac:dyDescent="0.25">
      <c r="B422" s="413"/>
      <c r="C422" s="395"/>
      <c r="D422" s="395"/>
      <c r="E422" s="395"/>
      <c r="F422" s="395"/>
      <c r="H422" s="395"/>
      <c r="I422" s="395"/>
      <c r="J422" s="395"/>
      <c r="K422" s="395"/>
      <c r="L422" s="395"/>
      <c r="N422" s="395"/>
      <c r="O422" s="395"/>
      <c r="P422" s="395"/>
      <c r="Q422" s="395"/>
      <c r="R422" s="395"/>
    </row>
    <row r="423" spans="2:18" x14ac:dyDescent="0.25">
      <c r="B423" s="413"/>
      <c r="C423" s="395"/>
      <c r="D423" s="395"/>
      <c r="E423" s="395"/>
      <c r="F423" s="395"/>
      <c r="H423" s="395"/>
      <c r="I423" s="395"/>
      <c r="J423" s="395"/>
      <c r="K423" s="395"/>
      <c r="L423" s="395"/>
      <c r="N423" s="395"/>
      <c r="O423" s="395"/>
      <c r="P423" s="395"/>
      <c r="Q423" s="395"/>
      <c r="R423" s="395"/>
    </row>
    <row r="424" spans="2:18" x14ac:dyDescent="0.25">
      <c r="B424" s="413"/>
      <c r="C424" s="395"/>
      <c r="D424" s="395"/>
      <c r="E424" s="395"/>
      <c r="F424" s="395"/>
      <c r="H424" s="395"/>
      <c r="I424" s="395"/>
      <c r="J424" s="395"/>
      <c r="K424" s="395"/>
      <c r="L424" s="395"/>
      <c r="N424" s="395"/>
      <c r="O424" s="395"/>
      <c r="P424" s="395"/>
      <c r="Q424" s="395"/>
      <c r="R424" s="395"/>
    </row>
    <row r="425" spans="2:18" x14ac:dyDescent="0.25">
      <c r="B425" s="413"/>
      <c r="C425" s="395"/>
      <c r="D425" s="395"/>
      <c r="E425" s="395"/>
      <c r="F425" s="395"/>
      <c r="H425" s="395"/>
      <c r="I425" s="395"/>
      <c r="J425" s="395"/>
      <c r="K425" s="395"/>
      <c r="L425" s="395"/>
      <c r="N425" s="395"/>
      <c r="O425" s="395"/>
      <c r="P425" s="395"/>
      <c r="Q425" s="395"/>
      <c r="R425" s="395"/>
    </row>
    <row r="426" spans="2:18" x14ac:dyDescent="0.25">
      <c r="B426" s="413"/>
      <c r="C426" s="395"/>
      <c r="D426" s="395"/>
      <c r="E426" s="395"/>
      <c r="F426" s="395"/>
      <c r="H426" s="395"/>
      <c r="I426" s="395"/>
      <c r="J426" s="395"/>
      <c r="K426" s="395"/>
      <c r="L426" s="395"/>
      <c r="N426" s="395"/>
      <c r="O426" s="395"/>
      <c r="P426" s="395"/>
      <c r="Q426" s="395"/>
      <c r="R426" s="395"/>
    </row>
    <row r="427" spans="2:18" x14ac:dyDescent="0.25">
      <c r="B427" s="413"/>
      <c r="C427" s="395"/>
      <c r="D427" s="395"/>
      <c r="E427" s="395"/>
      <c r="F427" s="395"/>
      <c r="H427" s="395"/>
      <c r="I427" s="395"/>
      <c r="J427" s="395"/>
      <c r="K427" s="395"/>
      <c r="L427" s="395"/>
      <c r="N427" s="395"/>
      <c r="O427" s="395"/>
      <c r="P427" s="395"/>
      <c r="Q427" s="395"/>
      <c r="R427" s="395"/>
    </row>
    <row r="428" spans="2:18" x14ac:dyDescent="0.25">
      <c r="B428" s="413"/>
      <c r="C428" s="395"/>
      <c r="D428" s="395"/>
      <c r="E428" s="395"/>
      <c r="F428" s="395"/>
      <c r="H428" s="395"/>
      <c r="I428" s="395"/>
      <c r="J428" s="395"/>
      <c r="K428" s="395"/>
      <c r="L428" s="395"/>
      <c r="N428" s="395"/>
      <c r="O428" s="395"/>
      <c r="P428" s="395"/>
      <c r="Q428" s="395"/>
      <c r="R428" s="395"/>
    </row>
    <row r="429" spans="2:18" x14ac:dyDescent="0.25">
      <c r="B429" s="413"/>
      <c r="C429" s="395"/>
      <c r="D429" s="395"/>
      <c r="E429" s="395"/>
      <c r="F429" s="395"/>
      <c r="H429" s="395"/>
      <c r="I429" s="395"/>
      <c r="J429" s="395"/>
      <c r="K429" s="395"/>
      <c r="L429" s="395"/>
      <c r="N429" s="395"/>
      <c r="O429" s="395"/>
      <c r="P429" s="395"/>
      <c r="Q429" s="395"/>
      <c r="R429" s="395"/>
    </row>
    <row r="430" spans="2:18" x14ac:dyDescent="0.25">
      <c r="B430" s="413"/>
      <c r="C430" s="395"/>
      <c r="D430" s="395"/>
      <c r="E430" s="395"/>
      <c r="F430" s="395"/>
      <c r="H430" s="395"/>
      <c r="I430" s="395"/>
      <c r="J430" s="395"/>
      <c r="K430" s="395"/>
      <c r="L430" s="395"/>
      <c r="N430" s="395"/>
      <c r="O430" s="395"/>
      <c r="P430" s="395"/>
      <c r="Q430" s="395"/>
      <c r="R430" s="395"/>
    </row>
    <row r="431" spans="2:18" x14ac:dyDescent="0.25">
      <c r="B431" s="413"/>
      <c r="C431" s="395"/>
      <c r="D431" s="395"/>
      <c r="E431" s="395"/>
      <c r="F431" s="395"/>
      <c r="H431" s="395"/>
      <c r="I431" s="395"/>
      <c r="J431" s="395"/>
      <c r="K431" s="395"/>
      <c r="L431" s="395"/>
      <c r="N431" s="395"/>
      <c r="O431" s="395"/>
      <c r="P431" s="395"/>
      <c r="Q431" s="395"/>
      <c r="R431" s="395"/>
    </row>
    <row r="432" spans="2:18" x14ac:dyDescent="0.25">
      <c r="B432" s="413"/>
      <c r="C432" s="395"/>
      <c r="D432" s="395"/>
      <c r="E432" s="395"/>
      <c r="F432" s="395"/>
      <c r="H432" s="395"/>
      <c r="I432" s="395"/>
      <c r="J432" s="395"/>
      <c r="K432" s="395"/>
      <c r="L432" s="395"/>
      <c r="N432" s="395"/>
      <c r="O432" s="395"/>
      <c r="P432" s="395"/>
      <c r="Q432" s="395"/>
      <c r="R432" s="395"/>
    </row>
    <row r="433" spans="2:18" x14ac:dyDescent="0.25">
      <c r="B433" s="413"/>
      <c r="C433" s="395"/>
      <c r="D433" s="395"/>
      <c r="E433" s="395"/>
      <c r="F433" s="395"/>
      <c r="H433" s="395"/>
      <c r="I433" s="395"/>
      <c r="J433" s="395"/>
      <c r="K433" s="395"/>
      <c r="L433" s="395"/>
      <c r="N433" s="395"/>
      <c r="O433" s="395"/>
      <c r="P433" s="395"/>
      <c r="Q433" s="395"/>
      <c r="R433" s="395"/>
    </row>
    <row r="434" spans="2:18" x14ac:dyDescent="0.25">
      <c r="B434" s="413"/>
      <c r="C434" s="395"/>
      <c r="D434" s="395"/>
      <c r="E434" s="395"/>
      <c r="F434" s="395"/>
      <c r="H434" s="395"/>
      <c r="I434" s="395"/>
      <c r="J434" s="395"/>
      <c r="K434" s="395"/>
      <c r="L434" s="395"/>
      <c r="N434" s="395"/>
      <c r="O434" s="395"/>
      <c r="P434" s="395"/>
      <c r="Q434" s="395"/>
      <c r="R434" s="395"/>
    </row>
    <row r="435" spans="2:18" x14ac:dyDescent="0.25">
      <c r="B435" s="413"/>
      <c r="C435" s="395"/>
      <c r="D435" s="395"/>
      <c r="E435" s="395"/>
      <c r="F435" s="395"/>
      <c r="H435" s="395"/>
      <c r="I435" s="395"/>
      <c r="J435" s="395"/>
      <c r="K435" s="395"/>
      <c r="L435" s="395"/>
      <c r="N435" s="395"/>
      <c r="O435" s="395"/>
      <c r="P435" s="395"/>
      <c r="Q435" s="395"/>
      <c r="R435" s="395"/>
    </row>
    <row r="436" spans="2:18" x14ac:dyDescent="0.25">
      <c r="B436" s="413"/>
      <c r="C436" s="395"/>
      <c r="D436" s="395"/>
      <c r="E436" s="395"/>
      <c r="F436" s="395"/>
      <c r="H436" s="395"/>
      <c r="I436" s="395"/>
      <c r="J436" s="395"/>
      <c r="K436" s="395"/>
      <c r="L436" s="395"/>
      <c r="N436" s="395"/>
      <c r="O436" s="395"/>
      <c r="P436" s="395"/>
      <c r="Q436" s="395"/>
      <c r="R436" s="395"/>
    </row>
    <row r="437" spans="2:18" x14ac:dyDescent="0.25">
      <c r="B437" s="413"/>
      <c r="C437" s="395"/>
      <c r="D437" s="395"/>
      <c r="E437" s="395"/>
      <c r="F437" s="395"/>
      <c r="H437" s="395"/>
      <c r="I437" s="395"/>
      <c r="J437" s="395"/>
      <c r="K437" s="395"/>
      <c r="L437" s="395"/>
      <c r="N437" s="395"/>
      <c r="O437" s="395"/>
      <c r="P437" s="395"/>
      <c r="Q437" s="395"/>
      <c r="R437" s="395"/>
    </row>
    <row r="438" spans="2:18" x14ac:dyDescent="0.25">
      <c r="B438" s="413"/>
      <c r="C438" s="395"/>
      <c r="D438" s="395"/>
      <c r="E438" s="395"/>
      <c r="F438" s="395"/>
      <c r="H438" s="395"/>
      <c r="I438" s="395"/>
      <c r="J438" s="395"/>
      <c r="K438" s="395"/>
      <c r="L438" s="395"/>
      <c r="N438" s="395"/>
      <c r="O438" s="395"/>
      <c r="P438" s="395"/>
      <c r="Q438" s="395"/>
      <c r="R438" s="395"/>
    </row>
    <row r="439" spans="2:18" x14ac:dyDescent="0.25">
      <c r="B439" s="413"/>
      <c r="C439" s="395"/>
      <c r="D439" s="395"/>
      <c r="E439" s="395"/>
      <c r="F439" s="395"/>
      <c r="H439" s="395"/>
      <c r="I439" s="395"/>
      <c r="J439" s="395"/>
      <c r="K439" s="395"/>
      <c r="L439" s="395"/>
      <c r="N439" s="395"/>
      <c r="O439" s="395"/>
      <c r="P439" s="395"/>
      <c r="Q439" s="395"/>
      <c r="R439" s="395"/>
    </row>
    <row r="440" spans="2:18" x14ac:dyDescent="0.25">
      <c r="B440" s="413"/>
      <c r="C440" s="395"/>
      <c r="D440" s="395"/>
      <c r="E440" s="395"/>
      <c r="F440" s="395"/>
      <c r="H440" s="395"/>
      <c r="I440" s="395"/>
      <c r="J440" s="395"/>
      <c r="K440" s="395"/>
      <c r="L440" s="395"/>
      <c r="N440" s="395"/>
      <c r="O440" s="395"/>
      <c r="P440" s="395"/>
      <c r="Q440" s="395"/>
      <c r="R440" s="395"/>
    </row>
    <row r="441" spans="2:18" x14ac:dyDescent="0.25">
      <c r="B441" s="413"/>
      <c r="C441" s="395"/>
      <c r="D441" s="395"/>
      <c r="E441" s="395"/>
      <c r="F441" s="395"/>
      <c r="H441" s="395"/>
      <c r="I441" s="395"/>
      <c r="J441" s="395"/>
      <c r="K441" s="395"/>
      <c r="L441" s="395"/>
      <c r="N441" s="395"/>
      <c r="O441" s="395"/>
      <c r="P441" s="395"/>
      <c r="Q441" s="395"/>
      <c r="R441" s="395"/>
    </row>
    <row r="442" spans="2:18" x14ac:dyDescent="0.25">
      <c r="B442" s="413"/>
      <c r="C442" s="395"/>
      <c r="D442" s="395"/>
      <c r="E442" s="395"/>
      <c r="F442" s="395"/>
      <c r="H442" s="395"/>
      <c r="I442" s="395"/>
      <c r="J442" s="395"/>
      <c r="K442" s="395"/>
      <c r="L442" s="395"/>
      <c r="N442" s="395"/>
      <c r="O442" s="395"/>
      <c r="P442" s="395"/>
      <c r="Q442" s="395"/>
      <c r="R442" s="395"/>
    </row>
    <row r="443" spans="2:18" x14ac:dyDescent="0.25">
      <c r="B443" s="413"/>
      <c r="C443" s="395"/>
      <c r="D443" s="395"/>
      <c r="E443" s="395"/>
      <c r="F443" s="395"/>
      <c r="H443" s="395"/>
      <c r="I443" s="395"/>
      <c r="J443" s="395"/>
      <c r="K443" s="395"/>
      <c r="L443" s="395"/>
      <c r="N443" s="395"/>
      <c r="O443" s="395"/>
      <c r="P443" s="395"/>
      <c r="Q443" s="395"/>
      <c r="R443" s="395"/>
    </row>
    <row r="444" spans="2:18" x14ac:dyDescent="0.25">
      <c r="B444" s="413"/>
      <c r="C444" s="395"/>
      <c r="D444" s="395"/>
      <c r="E444" s="395"/>
      <c r="F444" s="395"/>
      <c r="H444" s="395"/>
      <c r="I444" s="395"/>
      <c r="J444" s="395"/>
      <c r="K444" s="395"/>
      <c r="L444" s="395"/>
      <c r="N444" s="395"/>
      <c r="O444" s="395"/>
      <c r="P444" s="395"/>
      <c r="Q444" s="395"/>
      <c r="R444" s="395"/>
    </row>
    <row r="445" spans="2:18" x14ac:dyDescent="0.25">
      <c r="B445" s="413"/>
      <c r="C445" s="395"/>
      <c r="D445" s="395"/>
      <c r="E445" s="395"/>
      <c r="F445" s="395"/>
      <c r="H445" s="395"/>
      <c r="I445" s="395"/>
      <c r="J445" s="395"/>
      <c r="K445" s="395"/>
      <c r="L445" s="395"/>
      <c r="N445" s="395"/>
      <c r="O445" s="395"/>
      <c r="P445" s="395"/>
      <c r="Q445" s="395"/>
      <c r="R445" s="395"/>
    </row>
    <row r="446" spans="2:18" x14ac:dyDescent="0.25">
      <c r="B446" s="413"/>
      <c r="C446" s="395"/>
      <c r="D446" s="395"/>
      <c r="E446" s="395"/>
      <c r="F446" s="395"/>
      <c r="H446" s="395"/>
      <c r="I446" s="395"/>
      <c r="J446" s="395"/>
      <c r="K446" s="395"/>
      <c r="L446" s="395"/>
      <c r="N446" s="395"/>
      <c r="O446" s="395"/>
      <c r="P446" s="395"/>
      <c r="Q446" s="395"/>
      <c r="R446" s="395"/>
    </row>
    <row r="447" spans="2:18" x14ac:dyDescent="0.25">
      <c r="B447" s="413"/>
      <c r="C447" s="395"/>
      <c r="D447" s="395"/>
      <c r="E447" s="395"/>
      <c r="F447" s="395"/>
      <c r="H447" s="395"/>
      <c r="I447" s="395"/>
      <c r="J447" s="395"/>
      <c r="K447" s="395"/>
      <c r="L447" s="395"/>
      <c r="N447" s="395"/>
      <c r="O447" s="395"/>
      <c r="P447" s="395"/>
      <c r="Q447" s="395"/>
      <c r="R447" s="395"/>
    </row>
    <row r="448" spans="2:18" x14ac:dyDescent="0.25">
      <c r="B448" s="413"/>
      <c r="C448" s="395"/>
      <c r="D448" s="395"/>
      <c r="E448" s="395"/>
      <c r="F448" s="395"/>
      <c r="H448" s="395"/>
      <c r="I448" s="395"/>
      <c r="J448" s="395"/>
      <c r="K448" s="395"/>
      <c r="L448" s="395"/>
      <c r="N448" s="395"/>
      <c r="O448" s="395"/>
      <c r="P448" s="395"/>
      <c r="Q448" s="395"/>
      <c r="R448" s="395"/>
    </row>
    <row r="449" spans="2:18" x14ac:dyDescent="0.25">
      <c r="B449" s="413"/>
      <c r="C449" s="395"/>
      <c r="D449" s="395"/>
      <c r="E449" s="395"/>
      <c r="F449" s="395"/>
      <c r="H449" s="395"/>
      <c r="I449" s="395"/>
      <c r="J449" s="395"/>
      <c r="K449" s="395"/>
      <c r="L449" s="395"/>
      <c r="N449" s="395"/>
      <c r="O449" s="395"/>
      <c r="P449" s="395"/>
      <c r="Q449" s="395"/>
      <c r="R449" s="395"/>
    </row>
    <row r="450" spans="2:18" x14ac:dyDescent="0.25">
      <c r="B450" s="413"/>
      <c r="C450" s="395"/>
      <c r="D450" s="395"/>
      <c r="E450" s="395"/>
      <c r="F450" s="395"/>
      <c r="H450" s="395"/>
      <c r="I450" s="395"/>
      <c r="J450" s="395"/>
      <c r="K450" s="395"/>
      <c r="L450" s="395"/>
      <c r="N450" s="395"/>
      <c r="O450" s="395"/>
      <c r="P450" s="395"/>
      <c r="Q450" s="395"/>
      <c r="R450" s="395"/>
    </row>
    <row r="451" spans="2:18" x14ac:dyDescent="0.25">
      <c r="B451" s="413"/>
      <c r="C451" s="395"/>
      <c r="D451" s="395"/>
      <c r="E451" s="395"/>
      <c r="F451" s="395"/>
      <c r="H451" s="395"/>
      <c r="I451" s="395"/>
      <c r="J451" s="395"/>
      <c r="K451" s="395"/>
      <c r="L451" s="395"/>
      <c r="N451" s="395"/>
      <c r="O451" s="395"/>
      <c r="P451" s="395"/>
      <c r="Q451" s="395"/>
      <c r="R451" s="395"/>
    </row>
    <row r="452" spans="2:18" x14ac:dyDescent="0.25">
      <c r="B452" s="413"/>
      <c r="C452" s="395"/>
      <c r="D452" s="395"/>
      <c r="E452" s="395"/>
      <c r="F452" s="395"/>
      <c r="H452" s="395"/>
      <c r="I452" s="395"/>
      <c r="J452" s="395"/>
      <c r="K452" s="395"/>
      <c r="L452" s="395"/>
      <c r="N452" s="395"/>
      <c r="O452" s="395"/>
      <c r="P452" s="395"/>
      <c r="Q452" s="395"/>
      <c r="R452" s="395"/>
    </row>
    <row r="453" spans="2:18" x14ac:dyDescent="0.25">
      <c r="B453" s="413"/>
      <c r="C453" s="395"/>
      <c r="D453" s="395"/>
      <c r="E453" s="395"/>
      <c r="F453" s="395"/>
      <c r="H453" s="395"/>
      <c r="I453" s="395"/>
      <c r="J453" s="395"/>
      <c r="K453" s="395"/>
      <c r="L453" s="395"/>
      <c r="N453" s="395"/>
      <c r="O453" s="395"/>
      <c r="P453" s="395"/>
      <c r="Q453" s="395"/>
      <c r="R453" s="395"/>
    </row>
    <row r="454" spans="2:18" x14ac:dyDescent="0.25">
      <c r="B454" s="413"/>
      <c r="C454" s="395"/>
      <c r="D454" s="395"/>
      <c r="E454" s="395"/>
      <c r="F454" s="395"/>
      <c r="H454" s="395"/>
      <c r="I454" s="395"/>
      <c r="J454" s="395"/>
      <c r="K454" s="395"/>
      <c r="L454" s="395"/>
      <c r="N454" s="395"/>
      <c r="O454" s="395"/>
      <c r="P454" s="395"/>
      <c r="Q454" s="395"/>
      <c r="R454" s="395"/>
    </row>
    <row r="455" spans="2:18" x14ac:dyDescent="0.25">
      <c r="B455" s="413"/>
      <c r="C455" s="395"/>
      <c r="D455" s="395"/>
      <c r="E455" s="395"/>
      <c r="F455" s="395"/>
      <c r="H455" s="395"/>
      <c r="I455" s="395"/>
      <c r="J455" s="395"/>
      <c r="K455" s="395"/>
      <c r="L455" s="395"/>
      <c r="N455" s="395"/>
      <c r="O455" s="395"/>
      <c r="P455" s="395"/>
      <c r="Q455" s="395"/>
      <c r="R455" s="395"/>
    </row>
    <row r="456" spans="2:18" x14ac:dyDescent="0.25">
      <c r="B456" s="413"/>
      <c r="C456" s="395"/>
      <c r="D456" s="395"/>
      <c r="E456" s="395"/>
      <c r="F456" s="395"/>
      <c r="H456" s="395"/>
      <c r="I456" s="395"/>
      <c r="J456" s="395"/>
      <c r="K456" s="395"/>
      <c r="L456" s="395"/>
      <c r="N456" s="395"/>
      <c r="O456" s="395"/>
      <c r="P456" s="395"/>
      <c r="Q456" s="395"/>
      <c r="R456" s="395"/>
    </row>
    <row r="457" spans="2:18" x14ac:dyDescent="0.25">
      <c r="B457" s="413"/>
      <c r="C457" s="395"/>
      <c r="D457" s="395"/>
      <c r="E457" s="395"/>
      <c r="F457" s="395"/>
      <c r="H457" s="395"/>
      <c r="I457" s="395"/>
      <c r="J457" s="395"/>
      <c r="K457" s="395"/>
      <c r="L457" s="395"/>
      <c r="N457" s="395"/>
      <c r="O457" s="395"/>
      <c r="P457" s="395"/>
      <c r="Q457" s="395"/>
      <c r="R457" s="395"/>
    </row>
    <row r="458" spans="2:18" x14ac:dyDescent="0.25">
      <c r="B458" s="413"/>
      <c r="C458" s="395"/>
      <c r="D458" s="395"/>
      <c r="E458" s="395"/>
      <c r="F458" s="395"/>
      <c r="H458" s="395"/>
      <c r="I458" s="395"/>
      <c r="J458" s="395"/>
      <c r="K458" s="395"/>
      <c r="L458" s="395"/>
      <c r="N458" s="395"/>
      <c r="O458" s="395"/>
      <c r="P458" s="395"/>
      <c r="Q458" s="395"/>
      <c r="R458" s="395"/>
    </row>
    <row r="459" spans="2:18" x14ac:dyDescent="0.25">
      <c r="B459" s="413"/>
      <c r="C459" s="395"/>
      <c r="D459" s="395"/>
      <c r="E459" s="395"/>
      <c r="F459" s="395"/>
      <c r="H459" s="395"/>
      <c r="I459" s="395"/>
      <c r="J459" s="395"/>
      <c r="K459" s="395"/>
      <c r="L459" s="395"/>
      <c r="N459" s="395"/>
      <c r="O459" s="395"/>
      <c r="P459" s="395"/>
      <c r="Q459" s="395"/>
      <c r="R459" s="395"/>
    </row>
    <row r="460" spans="2:18" x14ac:dyDescent="0.25">
      <c r="B460" s="413"/>
      <c r="C460" s="395"/>
      <c r="D460" s="395"/>
      <c r="E460" s="395"/>
      <c r="F460" s="395"/>
      <c r="H460" s="395"/>
      <c r="I460" s="395"/>
      <c r="J460" s="395"/>
      <c r="K460" s="395"/>
      <c r="L460" s="395"/>
      <c r="N460" s="395"/>
      <c r="O460" s="395"/>
      <c r="P460" s="395"/>
      <c r="Q460" s="395"/>
      <c r="R460" s="395"/>
    </row>
    <row r="461" spans="2:18" x14ac:dyDescent="0.25">
      <c r="B461" s="413"/>
      <c r="C461" s="395"/>
      <c r="D461" s="395"/>
      <c r="E461" s="395"/>
      <c r="F461" s="395"/>
      <c r="H461" s="395"/>
      <c r="I461" s="395"/>
      <c r="J461" s="395"/>
      <c r="K461" s="395"/>
      <c r="L461" s="395"/>
      <c r="N461" s="395"/>
      <c r="O461" s="395"/>
      <c r="P461" s="395"/>
      <c r="Q461" s="395"/>
      <c r="R461" s="395"/>
    </row>
    <row r="462" spans="2:18" x14ac:dyDescent="0.25">
      <c r="B462" s="413"/>
      <c r="C462" s="395"/>
      <c r="D462" s="395"/>
      <c r="E462" s="395"/>
      <c r="F462" s="395"/>
      <c r="H462" s="395"/>
      <c r="I462" s="395"/>
      <c r="J462" s="395"/>
      <c r="K462" s="395"/>
      <c r="L462" s="395"/>
      <c r="N462" s="395"/>
      <c r="O462" s="395"/>
      <c r="P462" s="395"/>
      <c r="Q462" s="395"/>
      <c r="R462" s="395"/>
    </row>
    <row r="463" spans="2:18" x14ac:dyDescent="0.25">
      <c r="B463" s="413"/>
      <c r="C463" s="395"/>
      <c r="D463" s="395"/>
      <c r="E463" s="395"/>
      <c r="F463" s="395"/>
      <c r="H463" s="395"/>
      <c r="I463" s="395"/>
      <c r="J463" s="395"/>
      <c r="K463" s="395"/>
      <c r="L463" s="395"/>
      <c r="N463" s="395"/>
      <c r="O463" s="395"/>
      <c r="P463" s="395"/>
      <c r="Q463" s="395"/>
      <c r="R463" s="395"/>
    </row>
    <row r="464" spans="2:18" x14ac:dyDescent="0.25">
      <c r="B464" s="413"/>
      <c r="C464" s="395"/>
      <c r="D464" s="395"/>
      <c r="E464" s="395"/>
      <c r="F464" s="395"/>
      <c r="H464" s="395"/>
      <c r="I464" s="395"/>
      <c r="J464" s="395"/>
      <c r="K464" s="395"/>
      <c r="L464" s="395"/>
      <c r="N464" s="395"/>
      <c r="O464" s="395"/>
      <c r="P464" s="395"/>
      <c r="Q464" s="395"/>
      <c r="R464" s="395"/>
    </row>
    <row r="465" spans="2:18" x14ac:dyDescent="0.25">
      <c r="B465" s="413"/>
      <c r="C465" s="395"/>
      <c r="D465" s="395"/>
      <c r="E465" s="395"/>
      <c r="F465" s="395"/>
      <c r="H465" s="395"/>
      <c r="I465" s="395"/>
      <c r="J465" s="395"/>
      <c r="K465" s="395"/>
      <c r="L465" s="395"/>
      <c r="N465" s="395"/>
      <c r="O465" s="395"/>
      <c r="P465" s="395"/>
      <c r="Q465" s="395"/>
      <c r="R465" s="395"/>
    </row>
    <row r="466" spans="2:18" x14ac:dyDescent="0.25">
      <c r="B466" s="413"/>
      <c r="C466" s="395"/>
      <c r="D466" s="395"/>
      <c r="E466" s="395"/>
      <c r="F466" s="395"/>
      <c r="H466" s="395"/>
      <c r="I466" s="395"/>
      <c r="J466" s="395"/>
      <c r="K466" s="395"/>
      <c r="L466" s="395"/>
      <c r="N466" s="395"/>
      <c r="O466" s="395"/>
      <c r="P466" s="395"/>
      <c r="Q466" s="395"/>
      <c r="R466" s="395"/>
    </row>
    <row r="467" spans="2:18" x14ac:dyDescent="0.25">
      <c r="B467" s="413"/>
      <c r="C467" s="395"/>
      <c r="D467" s="395"/>
      <c r="E467" s="395"/>
      <c r="F467" s="395"/>
      <c r="H467" s="395"/>
      <c r="I467" s="395"/>
      <c r="J467" s="395"/>
      <c r="K467" s="395"/>
      <c r="L467" s="395"/>
      <c r="N467" s="395"/>
      <c r="O467" s="395"/>
      <c r="P467" s="395"/>
      <c r="Q467" s="395"/>
      <c r="R467" s="395"/>
    </row>
    <row r="468" spans="2:18" x14ac:dyDescent="0.25">
      <c r="B468" s="413"/>
      <c r="C468" s="395"/>
      <c r="D468" s="395"/>
      <c r="E468" s="395"/>
      <c r="F468" s="395"/>
      <c r="H468" s="395"/>
      <c r="I468" s="395"/>
      <c r="J468" s="395"/>
      <c r="K468" s="395"/>
      <c r="L468" s="395"/>
      <c r="N468" s="395"/>
      <c r="O468" s="395"/>
      <c r="P468" s="395"/>
      <c r="Q468" s="395"/>
      <c r="R468" s="395"/>
    </row>
    <row r="469" spans="2:18" x14ac:dyDescent="0.25">
      <c r="B469" s="413"/>
      <c r="C469" s="395"/>
      <c r="D469" s="395"/>
      <c r="E469" s="395"/>
      <c r="F469" s="395"/>
      <c r="H469" s="395"/>
      <c r="I469" s="395"/>
      <c r="J469" s="395"/>
      <c r="K469" s="395"/>
      <c r="L469" s="395"/>
      <c r="N469" s="395"/>
      <c r="O469" s="395"/>
      <c r="P469" s="395"/>
      <c r="Q469" s="395"/>
      <c r="R469" s="395"/>
    </row>
    <row r="470" spans="2:18" x14ac:dyDescent="0.25">
      <c r="B470" s="413"/>
      <c r="C470" s="395"/>
      <c r="D470" s="395"/>
      <c r="E470" s="395"/>
      <c r="F470" s="395"/>
      <c r="H470" s="395"/>
      <c r="I470" s="395"/>
      <c r="J470" s="395"/>
      <c r="K470" s="395"/>
      <c r="L470" s="395"/>
      <c r="N470" s="395"/>
      <c r="O470" s="395"/>
      <c r="P470" s="395"/>
      <c r="Q470" s="395"/>
      <c r="R470" s="395"/>
    </row>
    <row r="471" spans="2:18" x14ac:dyDescent="0.25">
      <c r="B471" s="413"/>
      <c r="C471" s="395"/>
      <c r="D471" s="395"/>
      <c r="E471" s="395"/>
      <c r="F471" s="395"/>
      <c r="H471" s="395"/>
      <c r="I471" s="395"/>
      <c r="J471" s="395"/>
      <c r="K471" s="395"/>
      <c r="L471" s="395"/>
      <c r="N471" s="395"/>
      <c r="O471" s="395"/>
      <c r="P471" s="395"/>
      <c r="Q471" s="395"/>
      <c r="R471" s="395"/>
    </row>
    <row r="472" spans="2:18" x14ac:dyDescent="0.25">
      <c r="B472" s="413"/>
      <c r="C472" s="395"/>
      <c r="D472" s="395"/>
      <c r="E472" s="395"/>
      <c r="F472" s="395"/>
      <c r="H472" s="395"/>
      <c r="I472" s="395"/>
      <c r="J472" s="395"/>
      <c r="K472" s="395"/>
      <c r="L472" s="395"/>
      <c r="N472" s="395"/>
      <c r="O472" s="395"/>
      <c r="P472" s="395"/>
      <c r="Q472" s="395"/>
      <c r="R472" s="395"/>
    </row>
    <row r="473" spans="2:18" x14ac:dyDescent="0.25">
      <c r="B473" s="413"/>
      <c r="C473" s="395"/>
      <c r="D473" s="395"/>
      <c r="E473" s="395"/>
      <c r="F473" s="395"/>
      <c r="H473" s="395"/>
      <c r="I473" s="395"/>
      <c r="J473" s="395"/>
      <c r="K473" s="395"/>
      <c r="L473" s="395"/>
      <c r="N473" s="395"/>
      <c r="O473" s="395"/>
      <c r="P473" s="395"/>
      <c r="Q473" s="395"/>
      <c r="R473" s="395"/>
    </row>
    <row r="474" spans="2:18" x14ac:dyDescent="0.25">
      <c r="B474" s="413"/>
      <c r="C474" s="395"/>
      <c r="D474" s="395"/>
      <c r="E474" s="395"/>
      <c r="F474" s="395"/>
      <c r="H474" s="395"/>
      <c r="I474" s="395"/>
      <c r="J474" s="395"/>
      <c r="K474" s="395"/>
      <c r="L474" s="395"/>
      <c r="N474" s="395"/>
      <c r="O474" s="395"/>
      <c r="P474" s="395"/>
      <c r="Q474" s="395"/>
      <c r="R474" s="395"/>
    </row>
    <row r="475" spans="2:18" x14ac:dyDescent="0.25">
      <c r="B475" s="413"/>
      <c r="C475" s="395"/>
      <c r="D475" s="395"/>
      <c r="E475" s="395"/>
      <c r="F475" s="395"/>
      <c r="H475" s="395"/>
      <c r="I475" s="395"/>
      <c r="J475" s="395"/>
      <c r="K475" s="395"/>
      <c r="L475" s="395"/>
      <c r="N475" s="395"/>
      <c r="O475" s="395"/>
      <c r="P475" s="395"/>
      <c r="Q475" s="395"/>
      <c r="R475" s="395"/>
    </row>
    <row r="476" spans="2:18" x14ac:dyDescent="0.25">
      <c r="B476" s="413"/>
      <c r="C476" s="395"/>
      <c r="D476" s="395"/>
      <c r="E476" s="395"/>
      <c r="F476" s="395"/>
      <c r="H476" s="395"/>
      <c r="I476" s="395"/>
      <c r="J476" s="395"/>
      <c r="K476" s="395"/>
      <c r="L476" s="395"/>
      <c r="N476" s="395"/>
      <c r="O476" s="395"/>
      <c r="P476" s="395"/>
      <c r="Q476" s="395"/>
      <c r="R476" s="395"/>
    </row>
    <row r="477" spans="2:18" x14ac:dyDescent="0.25">
      <c r="B477" s="413"/>
      <c r="C477" s="395"/>
      <c r="D477" s="395"/>
      <c r="E477" s="395"/>
      <c r="F477" s="395"/>
      <c r="H477" s="395"/>
      <c r="I477" s="395"/>
      <c r="J477" s="395"/>
      <c r="K477" s="395"/>
      <c r="L477" s="395"/>
      <c r="N477" s="395"/>
      <c r="O477" s="395"/>
      <c r="P477" s="395"/>
      <c r="Q477" s="395"/>
      <c r="R477" s="395"/>
    </row>
    <row r="478" spans="2:18" x14ac:dyDescent="0.25">
      <c r="B478" s="413"/>
      <c r="C478" s="395"/>
      <c r="D478" s="395"/>
      <c r="E478" s="395"/>
      <c r="F478" s="395"/>
      <c r="H478" s="395"/>
      <c r="I478" s="395"/>
      <c r="J478" s="395"/>
      <c r="K478" s="395"/>
      <c r="L478" s="395"/>
      <c r="N478" s="395"/>
      <c r="O478" s="395"/>
      <c r="P478" s="395"/>
      <c r="Q478" s="395"/>
      <c r="R478" s="395"/>
    </row>
    <row r="479" spans="2:18" x14ac:dyDescent="0.25">
      <c r="B479" s="413"/>
      <c r="C479" s="395"/>
      <c r="D479" s="395"/>
      <c r="E479" s="395"/>
      <c r="F479" s="395"/>
      <c r="H479" s="395"/>
      <c r="I479" s="395"/>
      <c r="J479" s="395"/>
      <c r="K479" s="395"/>
      <c r="L479" s="395"/>
      <c r="N479" s="395"/>
      <c r="O479" s="395"/>
      <c r="P479" s="395"/>
      <c r="Q479" s="395"/>
      <c r="R479" s="395"/>
    </row>
    <row r="480" spans="2:18" x14ac:dyDescent="0.25">
      <c r="B480" s="413"/>
      <c r="C480" s="395"/>
      <c r="D480" s="395"/>
      <c r="E480" s="395"/>
      <c r="F480" s="395"/>
      <c r="H480" s="395"/>
      <c r="I480" s="395"/>
      <c r="J480" s="395"/>
      <c r="K480" s="395"/>
      <c r="L480" s="395"/>
      <c r="N480" s="395"/>
      <c r="O480" s="395"/>
      <c r="P480" s="395"/>
      <c r="Q480" s="395"/>
      <c r="R480" s="395"/>
    </row>
    <row r="481" spans="2:18" x14ac:dyDescent="0.25">
      <c r="B481" s="413"/>
      <c r="C481" s="395"/>
      <c r="D481" s="395"/>
      <c r="E481" s="395"/>
      <c r="F481" s="395"/>
      <c r="H481" s="395"/>
      <c r="I481" s="395"/>
      <c r="J481" s="395"/>
      <c r="K481" s="395"/>
      <c r="L481" s="395"/>
      <c r="N481" s="395"/>
      <c r="O481" s="395"/>
      <c r="P481" s="395"/>
      <c r="Q481" s="395"/>
      <c r="R481" s="395"/>
    </row>
    <row r="482" spans="2:18" x14ac:dyDescent="0.25">
      <c r="B482" s="413"/>
      <c r="C482" s="395"/>
      <c r="D482" s="395"/>
      <c r="E482" s="395"/>
      <c r="F482" s="395"/>
      <c r="H482" s="395"/>
      <c r="I482" s="395"/>
      <c r="J482" s="395"/>
      <c r="K482" s="395"/>
      <c r="L482" s="395"/>
      <c r="N482" s="395"/>
      <c r="O482" s="395"/>
      <c r="P482" s="395"/>
      <c r="Q482" s="395"/>
      <c r="R482" s="395"/>
    </row>
    <row r="483" spans="2:18" x14ac:dyDescent="0.25">
      <c r="B483" s="413"/>
      <c r="C483" s="395"/>
      <c r="D483" s="395"/>
      <c r="E483" s="395"/>
      <c r="F483" s="395"/>
      <c r="H483" s="395"/>
      <c r="I483" s="395"/>
      <c r="J483" s="395"/>
      <c r="K483" s="395"/>
      <c r="L483" s="395"/>
      <c r="N483" s="395"/>
      <c r="O483" s="395"/>
      <c r="P483" s="395"/>
      <c r="Q483" s="395"/>
      <c r="R483" s="395"/>
    </row>
    <row r="484" spans="2:18" x14ac:dyDescent="0.25">
      <c r="B484" s="413"/>
      <c r="C484" s="395"/>
      <c r="D484" s="395"/>
      <c r="E484" s="395"/>
      <c r="F484" s="395"/>
      <c r="H484" s="395"/>
      <c r="I484" s="395"/>
      <c r="J484" s="395"/>
      <c r="K484" s="395"/>
      <c r="L484" s="395"/>
      <c r="N484" s="395"/>
      <c r="O484" s="395"/>
      <c r="P484" s="395"/>
      <c r="Q484" s="395"/>
      <c r="R484" s="395"/>
    </row>
    <row r="485" spans="2:18" x14ac:dyDescent="0.25">
      <c r="B485" s="413"/>
      <c r="C485" s="395"/>
      <c r="D485" s="395"/>
      <c r="E485" s="395"/>
      <c r="F485" s="395"/>
      <c r="H485" s="395"/>
      <c r="I485" s="395"/>
      <c r="J485" s="395"/>
      <c r="K485" s="395"/>
      <c r="L485" s="395"/>
      <c r="N485" s="395"/>
      <c r="O485" s="395"/>
      <c r="P485" s="395"/>
      <c r="Q485" s="395"/>
      <c r="R485" s="395"/>
    </row>
    <row r="486" spans="2:18" x14ac:dyDescent="0.25">
      <c r="B486" s="413"/>
      <c r="C486" s="395"/>
      <c r="D486" s="395"/>
      <c r="E486" s="395"/>
      <c r="F486" s="395"/>
      <c r="H486" s="395"/>
      <c r="I486" s="395"/>
      <c r="J486" s="395"/>
      <c r="K486" s="395"/>
      <c r="L486" s="395"/>
      <c r="N486" s="395"/>
      <c r="O486" s="395"/>
      <c r="P486" s="395"/>
      <c r="Q486" s="395"/>
      <c r="R486" s="395"/>
    </row>
    <row r="487" spans="2:18" x14ac:dyDescent="0.25">
      <c r="B487" s="413"/>
      <c r="C487" s="395"/>
      <c r="D487" s="395"/>
      <c r="E487" s="395"/>
      <c r="F487" s="395"/>
      <c r="H487" s="395"/>
      <c r="I487" s="395"/>
      <c r="J487" s="395"/>
      <c r="K487" s="395"/>
      <c r="L487" s="395"/>
      <c r="N487" s="395"/>
      <c r="O487" s="395"/>
      <c r="P487" s="395"/>
      <c r="Q487" s="395"/>
      <c r="R487" s="395"/>
    </row>
    <row r="488" spans="2:18" x14ac:dyDescent="0.25">
      <c r="B488" s="413"/>
      <c r="C488" s="395"/>
      <c r="D488" s="395"/>
      <c r="E488" s="395"/>
      <c r="F488" s="395"/>
      <c r="H488" s="395"/>
      <c r="I488" s="395"/>
      <c r="J488" s="395"/>
      <c r="K488" s="395"/>
      <c r="L488" s="395"/>
      <c r="N488" s="395"/>
      <c r="O488" s="395"/>
      <c r="P488" s="395"/>
      <c r="Q488" s="395"/>
      <c r="R488" s="395"/>
    </row>
    <row r="489" spans="2:18" x14ac:dyDescent="0.25">
      <c r="B489" s="413"/>
      <c r="C489" s="395"/>
      <c r="D489" s="395"/>
      <c r="E489" s="395"/>
      <c r="F489" s="395"/>
      <c r="H489" s="395"/>
      <c r="I489" s="395"/>
      <c r="J489" s="395"/>
      <c r="K489" s="395"/>
      <c r="L489" s="395"/>
      <c r="N489" s="395"/>
      <c r="O489" s="395"/>
      <c r="P489" s="395"/>
      <c r="Q489" s="395"/>
      <c r="R489" s="395"/>
    </row>
    <row r="490" spans="2:18" x14ac:dyDescent="0.25">
      <c r="B490" s="413"/>
      <c r="C490" s="395"/>
      <c r="D490" s="395"/>
      <c r="E490" s="395"/>
      <c r="F490" s="395"/>
      <c r="H490" s="395"/>
      <c r="I490" s="395"/>
      <c r="J490" s="395"/>
      <c r="K490" s="395"/>
      <c r="L490" s="395"/>
      <c r="N490" s="395"/>
      <c r="O490" s="395"/>
      <c r="P490" s="395"/>
      <c r="Q490" s="395"/>
      <c r="R490" s="395"/>
    </row>
    <row r="491" spans="2:18" x14ac:dyDescent="0.25">
      <c r="B491" s="413"/>
      <c r="C491" s="395"/>
      <c r="D491" s="395"/>
      <c r="E491" s="395"/>
      <c r="F491" s="395"/>
      <c r="H491" s="395"/>
      <c r="I491" s="395"/>
      <c r="J491" s="395"/>
      <c r="K491" s="395"/>
      <c r="L491" s="395"/>
      <c r="N491" s="395"/>
      <c r="O491" s="395"/>
      <c r="P491" s="395"/>
      <c r="Q491" s="395"/>
      <c r="R491" s="395"/>
    </row>
    <row r="492" spans="2:18" x14ac:dyDescent="0.25">
      <c r="B492" s="413"/>
      <c r="C492" s="395"/>
      <c r="D492" s="395"/>
      <c r="E492" s="395"/>
      <c r="F492" s="395"/>
      <c r="H492" s="395"/>
      <c r="I492" s="395"/>
      <c r="J492" s="395"/>
      <c r="K492" s="395"/>
      <c r="L492" s="395"/>
      <c r="N492" s="395"/>
      <c r="O492" s="395"/>
      <c r="P492" s="395"/>
      <c r="Q492" s="395"/>
      <c r="R492" s="395"/>
    </row>
    <row r="493" spans="2:18" x14ac:dyDescent="0.25">
      <c r="B493" s="413"/>
      <c r="C493" s="395"/>
      <c r="D493" s="395"/>
      <c r="E493" s="395"/>
      <c r="F493" s="395"/>
      <c r="H493" s="395"/>
      <c r="I493" s="395"/>
      <c r="J493" s="395"/>
      <c r="K493" s="395"/>
      <c r="L493" s="395"/>
      <c r="N493" s="395"/>
      <c r="O493" s="395"/>
      <c r="P493" s="395"/>
      <c r="Q493" s="395"/>
      <c r="R493" s="395"/>
    </row>
    <row r="494" spans="2:18" x14ac:dyDescent="0.25">
      <c r="B494" s="413"/>
      <c r="C494" s="395"/>
      <c r="D494" s="395"/>
      <c r="E494" s="395"/>
      <c r="F494" s="395"/>
      <c r="H494" s="395"/>
      <c r="I494" s="395"/>
      <c r="J494" s="395"/>
      <c r="K494" s="395"/>
      <c r="L494" s="395"/>
      <c r="N494" s="395"/>
      <c r="O494" s="395"/>
      <c r="P494" s="395"/>
      <c r="Q494" s="395"/>
      <c r="R494" s="395"/>
    </row>
    <row r="495" spans="2:18" x14ac:dyDescent="0.25">
      <c r="B495" s="413"/>
      <c r="C495" s="395"/>
      <c r="D495" s="395"/>
      <c r="E495" s="395"/>
      <c r="F495" s="395"/>
      <c r="H495" s="395"/>
      <c r="I495" s="395"/>
      <c r="J495" s="395"/>
      <c r="K495" s="395"/>
      <c r="L495" s="395"/>
      <c r="N495" s="395"/>
      <c r="O495" s="395"/>
      <c r="P495" s="395"/>
      <c r="Q495" s="395"/>
      <c r="R495" s="395"/>
    </row>
    <row r="496" spans="2:18" x14ac:dyDescent="0.25">
      <c r="B496" s="413"/>
      <c r="C496" s="395"/>
      <c r="D496" s="395"/>
      <c r="E496" s="395"/>
      <c r="F496" s="395"/>
      <c r="H496" s="395"/>
      <c r="I496" s="395"/>
      <c r="J496" s="395"/>
      <c r="K496" s="395"/>
      <c r="L496" s="395"/>
      <c r="N496" s="395"/>
      <c r="O496" s="395"/>
      <c r="P496" s="395"/>
      <c r="Q496" s="395"/>
      <c r="R496" s="395"/>
    </row>
    <row r="497" spans="2:18" x14ac:dyDescent="0.25">
      <c r="B497" s="413"/>
      <c r="C497" s="395"/>
      <c r="D497" s="395"/>
      <c r="E497" s="395"/>
      <c r="F497" s="395"/>
      <c r="H497" s="395"/>
      <c r="I497" s="395"/>
      <c r="J497" s="395"/>
      <c r="K497" s="395"/>
      <c r="L497" s="395"/>
      <c r="N497" s="395"/>
      <c r="O497" s="395"/>
      <c r="P497" s="395"/>
      <c r="Q497" s="395"/>
      <c r="R497" s="395"/>
    </row>
    <row r="498" spans="2:18" x14ac:dyDescent="0.25">
      <c r="B498" s="413"/>
      <c r="C498" s="395"/>
      <c r="D498" s="395"/>
      <c r="E498" s="395"/>
      <c r="F498" s="395"/>
      <c r="H498" s="395"/>
      <c r="I498" s="395"/>
      <c r="J498" s="395"/>
      <c r="K498" s="395"/>
      <c r="L498" s="395"/>
      <c r="N498" s="395"/>
      <c r="O498" s="395"/>
      <c r="P498" s="395"/>
      <c r="Q498" s="395"/>
      <c r="R498" s="395"/>
    </row>
    <row r="499" spans="2:18" x14ac:dyDescent="0.25">
      <c r="B499" s="413"/>
      <c r="C499" s="395"/>
      <c r="D499" s="395"/>
      <c r="E499" s="395"/>
      <c r="F499" s="395"/>
      <c r="H499" s="395"/>
      <c r="I499" s="395"/>
      <c r="J499" s="395"/>
      <c r="K499" s="395"/>
      <c r="L499" s="395"/>
      <c r="N499" s="395"/>
      <c r="O499" s="395"/>
      <c r="P499" s="395"/>
      <c r="Q499" s="395"/>
      <c r="R499" s="395"/>
    </row>
    <row r="500" spans="2:18" x14ac:dyDescent="0.25">
      <c r="B500" s="413"/>
      <c r="C500" s="395"/>
      <c r="D500" s="395"/>
      <c r="E500" s="395"/>
      <c r="F500" s="395"/>
      <c r="H500" s="395"/>
      <c r="I500" s="395"/>
      <c r="J500" s="395"/>
      <c r="K500" s="395"/>
      <c r="L500" s="395"/>
      <c r="N500" s="395"/>
      <c r="O500" s="395"/>
      <c r="P500" s="395"/>
      <c r="Q500" s="395"/>
      <c r="R500" s="395"/>
    </row>
    <row r="501" spans="2:18" x14ac:dyDescent="0.25">
      <c r="B501" s="413"/>
      <c r="C501" s="395"/>
      <c r="D501" s="395"/>
      <c r="E501" s="395"/>
      <c r="F501" s="395"/>
      <c r="H501" s="395"/>
      <c r="I501" s="395"/>
      <c r="J501" s="395"/>
      <c r="K501" s="395"/>
      <c r="L501" s="395"/>
      <c r="N501" s="395"/>
      <c r="O501" s="395"/>
      <c r="P501" s="395"/>
      <c r="Q501" s="395"/>
      <c r="R501" s="395"/>
    </row>
    <row r="502" spans="2:18" x14ac:dyDescent="0.25">
      <c r="B502" s="413"/>
      <c r="C502" s="395"/>
      <c r="D502" s="395"/>
      <c r="E502" s="395"/>
      <c r="F502" s="395"/>
      <c r="H502" s="395"/>
      <c r="I502" s="395"/>
      <c r="J502" s="395"/>
      <c r="K502" s="395"/>
      <c r="L502" s="395"/>
      <c r="N502" s="395"/>
      <c r="O502" s="395"/>
      <c r="P502" s="395"/>
      <c r="Q502" s="395"/>
      <c r="R502" s="395"/>
    </row>
    <row r="503" spans="2:18" x14ac:dyDescent="0.25">
      <c r="B503" s="413"/>
      <c r="C503" s="395"/>
      <c r="D503" s="395"/>
      <c r="E503" s="395"/>
      <c r="F503" s="395"/>
      <c r="H503" s="395"/>
      <c r="I503" s="395"/>
      <c r="J503" s="395"/>
      <c r="K503" s="395"/>
      <c r="L503" s="395"/>
      <c r="N503" s="395"/>
      <c r="O503" s="395"/>
      <c r="P503" s="395"/>
      <c r="Q503" s="395"/>
      <c r="R503" s="395"/>
    </row>
    <row r="504" spans="2:18" x14ac:dyDescent="0.25">
      <c r="B504" s="413"/>
      <c r="C504" s="395"/>
      <c r="D504" s="395"/>
      <c r="E504" s="395"/>
      <c r="F504" s="395"/>
      <c r="H504" s="395"/>
      <c r="I504" s="395"/>
      <c r="J504" s="395"/>
      <c r="K504" s="395"/>
      <c r="L504" s="395"/>
      <c r="N504" s="395"/>
      <c r="O504" s="395"/>
      <c r="P504" s="395"/>
      <c r="Q504" s="395"/>
      <c r="R504" s="395"/>
    </row>
    <row r="505" spans="2:18" x14ac:dyDescent="0.25">
      <c r="B505" s="413"/>
      <c r="C505" s="395"/>
      <c r="D505" s="395"/>
      <c r="E505" s="395"/>
      <c r="F505" s="395"/>
      <c r="H505" s="395"/>
      <c r="I505" s="395"/>
      <c r="J505" s="395"/>
      <c r="K505" s="395"/>
      <c r="L505" s="395"/>
      <c r="N505" s="395"/>
      <c r="O505" s="395"/>
      <c r="P505" s="395"/>
      <c r="Q505" s="395"/>
      <c r="R505" s="395"/>
    </row>
    <row r="506" spans="2:18" x14ac:dyDescent="0.25">
      <c r="B506" s="413"/>
      <c r="C506" s="395"/>
      <c r="D506" s="395"/>
      <c r="E506" s="395"/>
      <c r="F506" s="395"/>
      <c r="H506" s="395"/>
      <c r="I506" s="395"/>
      <c r="J506" s="395"/>
      <c r="K506" s="395"/>
      <c r="L506" s="395"/>
      <c r="N506" s="395"/>
      <c r="O506" s="395"/>
      <c r="P506" s="395"/>
      <c r="Q506" s="395"/>
      <c r="R506" s="395"/>
    </row>
    <row r="507" spans="2:18" x14ac:dyDescent="0.25">
      <c r="B507" s="413"/>
      <c r="C507" s="395"/>
      <c r="D507" s="395"/>
      <c r="E507" s="395"/>
      <c r="F507" s="395"/>
      <c r="H507" s="395"/>
      <c r="I507" s="395"/>
      <c r="J507" s="395"/>
      <c r="K507" s="395"/>
      <c r="L507" s="395"/>
      <c r="N507" s="395"/>
      <c r="O507" s="395"/>
      <c r="P507" s="395"/>
      <c r="Q507" s="395"/>
      <c r="R507" s="395"/>
    </row>
    <row r="508" spans="2:18" x14ac:dyDescent="0.25">
      <c r="B508" s="413"/>
      <c r="C508" s="395"/>
      <c r="D508" s="395"/>
      <c r="E508" s="395"/>
      <c r="F508" s="395"/>
      <c r="H508" s="395"/>
      <c r="I508" s="395"/>
      <c r="J508" s="395"/>
      <c r="K508" s="395"/>
      <c r="L508" s="395"/>
      <c r="N508" s="395"/>
      <c r="O508" s="395"/>
      <c r="P508" s="395"/>
      <c r="Q508" s="395"/>
      <c r="R508" s="395"/>
    </row>
    <row r="509" spans="2:18" x14ac:dyDescent="0.25">
      <c r="B509" s="413"/>
      <c r="C509" s="395"/>
      <c r="D509" s="395"/>
      <c r="E509" s="395"/>
      <c r="F509" s="395"/>
      <c r="H509" s="395"/>
      <c r="I509" s="395"/>
      <c r="J509" s="395"/>
      <c r="K509" s="395"/>
      <c r="L509" s="395"/>
      <c r="N509" s="395"/>
      <c r="O509" s="395"/>
      <c r="P509" s="395"/>
      <c r="Q509" s="395"/>
      <c r="R509" s="395"/>
    </row>
    <row r="510" spans="2:18" x14ac:dyDescent="0.25">
      <c r="B510" s="413"/>
      <c r="C510" s="395"/>
      <c r="D510" s="395"/>
      <c r="E510" s="395"/>
      <c r="F510" s="395"/>
      <c r="H510" s="395"/>
      <c r="I510" s="395"/>
      <c r="J510" s="395"/>
      <c r="K510" s="395"/>
      <c r="L510" s="395"/>
      <c r="N510" s="395"/>
      <c r="O510" s="395"/>
      <c r="P510" s="395"/>
      <c r="Q510" s="395"/>
      <c r="R510" s="395"/>
    </row>
    <row r="511" spans="2:18" x14ac:dyDescent="0.25">
      <c r="B511" s="413"/>
      <c r="C511" s="395"/>
      <c r="D511" s="395"/>
      <c r="E511" s="395"/>
      <c r="F511" s="395"/>
      <c r="H511" s="395"/>
      <c r="I511" s="395"/>
      <c r="J511" s="395"/>
      <c r="K511" s="395"/>
      <c r="L511" s="395"/>
      <c r="N511" s="395"/>
      <c r="O511" s="395"/>
      <c r="P511" s="395"/>
      <c r="Q511" s="395"/>
      <c r="R511" s="395"/>
    </row>
    <row r="512" spans="2:18" x14ac:dyDescent="0.25">
      <c r="B512" s="413"/>
      <c r="C512" s="395"/>
      <c r="D512" s="395"/>
      <c r="E512" s="395"/>
      <c r="F512" s="395"/>
      <c r="H512" s="395"/>
      <c r="I512" s="395"/>
      <c r="J512" s="395"/>
      <c r="K512" s="395"/>
      <c r="L512" s="395"/>
      <c r="N512" s="395"/>
      <c r="O512" s="395"/>
      <c r="P512" s="395"/>
      <c r="Q512" s="395"/>
      <c r="R512" s="395"/>
    </row>
    <row r="513" spans="2:18" x14ac:dyDescent="0.25">
      <c r="B513" s="413"/>
      <c r="C513" s="395"/>
      <c r="D513" s="395"/>
      <c r="E513" s="395"/>
      <c r="F513" s="395"/>
      <c r="H513" s="395"/>
      <c r="I513" s="395"/>
      <c r="J513" s="395"/>
      <c r="K513" s="395"/>
      <c r="L513" s="395"/>
      <c r="N513" s="395"/>
      <c r="O513" s="395"/>
      <c r="P513" s="395"/>
      <c r="Q513" s="395"/>
      <c r="R513" s="395"/>
    </row>
    <row r="514" spans="2:18" x14ac:dyDescent="0.25">
      <c r="B514" s="413"/>
      <c r="C514" s="395"/>
      <c r="D514" s="395"/>
      <c r="E514" s="395"/>
      <c r="F514" s="395"/>
      <c r="H514" s="395"/>
      <c r="I514" s="395"/>
      <c r="J514" s="395"/>
      <c r="K514" s="395"/>
      <c r="L514" s="395"/>
      <c r="N514" s="395"/>
      <c r="O514" s="395"/>
      <c r="P514" s="395"/>
      <c r="Q514" s="395"/>
      <c r="R514" s="395"/>
    </row>
    <row r="515" spans="2:18" x14ac:dyDescent="0.25">
      <c r="B515" s="413"/>
      <c r="C515" s="395"/>
      <c r="D515" s="395"/>
      <c r="E515" s="395"/>
      <c r="F515" s="395"/>
      <c r="H515" s="395"/>
      <c r="I515" s="395"/>
      <c r="J515" s="395"/>
      <c r="K515" s="395"/>
      <c r="L515" s="395"/>
      <c r="N515" s="395"/>
      <c r="O515" s="395"/>
      <c r="P515" s="395"/>
      <c r="Q515" s="395"/>
      <c r="R515" s="395"/>
    </row>
    <row r="516" spans="2:18" x14ac:dyDescent="0.25">
      <c r="B516" s="413"/>
      <c r="C516" s="395"/>
      <c r="D516" s="395"/>
      <c r="E516" s="395"/>
      <c r="F516" s="395"/>
      <c r="H516" s="395"/>
      <c r="I516" s="395"/>
      <c r="J516" s="395"/>
      <c r="K516" s="395"/>
      <c r="L516" s="395"/>
      <c r="N516" s="395"/>
      <c r="O516" s="395"/>
      <c r="P516" s="395"/>
      <c r="Q516" s="395"/>
      <c r="R516" s="395"/>
    </row>
    <row r="517" spans="2:18" x14ac:dyDescent="0.25">
      <c r="B517" s="413"/>
      <c r="C517" s="395"/>
      <c r="D517" s="395"/>
      <c r="E517" s="395"/>
      <c r="F517" s="395"/>
      <c r="H517" s="395"/>
      <c r="I517" s="395"/>
      <c r="J517" s="395"/>
      <c r="K517" s="395"/>
      <c r="L517" s="395"/>
      <c r="N517" s="395"/>
      <c r="O517" s="395"/>
      <c r="P517" s="395"/>
      <c r="Q517" s="395"/>
      <c r="R517" s="395"/>
    </row>
    <row r="518" spans="2:18" x14ac:dyDescent="0.25">
      <c r="B518" s="413"/>
      <c r="C518" s="395"/>
      <c r="D518" s="395"/>
      <c r="E518" s="395"/>
      <c r="F518" s="395"/>
      <c r="H518" s="395"/>
      <c r="I518" s="395"/>
      <c r="J518" s="395"/>
      <c r="K518" s="395"/>
      <c r="L518" s="395"/>
      <c r="N518" s="395"/>
      <c r="O518" s="395"/>
      <c r="P518" s="395"/>
      <c r="Q518" s="395"/>
      <c r="R518" s="395"/>
    </row>
    <row r="519" spans="2:18" x14ac:dyDescent="0.25">
      <c r="B519" s="413"/>
      <c r="C519" s="395"/>
      <c r="D519" s="395"/>
      <c r="E519" s="395"/>
      <c r="F519" s="395"/>
      <c r="H519" s="395"/>
      <c r="I519" s="395"/>
      <c r="J519" s="395"/>
      <c r="K519" s="395"/>
      <c r="L519" s="395"/>
      <c r="N519" s="395"/>
      <c r="O519" s="395"/>
      <c r="P519" s="395"/>
      <c r="Q519" s="395"/>
      <c r="R519" s="395"/>
    </row>
    <row r="520" spans="2:18" x14ac:dyDescent="0.25">
      <c r="B520" s="413"/>
      <c r="C520" s="395"/>
      <c r="D520" s="395"/>
      <c r="E520" s="395"/>
      <c r="F520" s="395"/>
      <c r="H520" s="395"/>
      <c r="I520" s="395"/>
      <c r="J520" s="395"/>
      <c r="K520" s="395"/>
      <c r="L520" s="395"/>
      <c r="N520" s="395"/>
      <c r="O520" s="395"/>
      <c r="P520" s="395"/>
      <c r="Q520" s="395"/>
      <c r="R520" s="395"/>
    </row>
    <row r="521" spans="2:18" x14ac:dyDescent="0.25">
      <c r="B521" s="413"/>
      <c r="C521" s="395"/>
      <c r="D521" s="395"/>
      <c r="E521" s="395"/>
      <c r="F521" s="395"/>
      <c r="H521" s="395"/>
      <c r="I521" s="395"/>
      <c r="J521" s="395"/>
      <c r="K521" s="395"/>
      <c r="L521" s="395"/>
      <c r="N521" s="395"/>
      <c r="O521" s="395"/>
      <c r="P521" s="395"/>
      <c r="Q521" s="395"/>
      <c r="R521" s="395"/>
    </row>
    <row r="522" spans="2:18" x14ac:dyDescent="0.25">
      <c r="B522" s="413"/>
      <c r="C522" s="395"/>
      <c r="D522" s="395"/>
      <c r="E522" s="395"/>
      <c r="F522" s="395"/>
      <c r="H522" s="395"/>
      <c r="I522" s="395"/>
      <c r="J522" s="395"/>
      <c r="K522" s="395"/>
      <c r="L522" s="395"/>
      <c r="N522" s="395"/>
      <c r="O522" s="395"/>
      <c r="P522" s="395"/>
      <c r="Q522" s="395"/>
      <c r="R522" s="395"/>
    </row>
    <row r="523" spans="2:18" x14ac:dyDescent="0.25">
      <c r="B523" s="413"/>
      <c r="C523" s="395"/>
      <c r="D523" s="395"/>
      <c r="E523" s="395"/>
      <c r="F523" s="395"/>
      <c r="H523" s="395"/>
      <c r="I523" s="395"/>
      <c r="J523" s="395"/>
      <c r="K523" s="395"/>
      <c r="L523" s="395"/>
      <c r="N523" s="395"/>
      <c r="O523" s="395"/>
      <c r="P523" s="395"/>
      <c r="Q523" s="395"/>
      <c r="R523" s="395"/>
    </row>
    <row r="524" spans="2:18" x14ac:dyDescent="0.25">
      <c r="B524" s="413"/>
      <c r="C524" s="395"/>
      <c r="D524" s="395"/>
      <c r="E524" s="395"/>
      <c r="F524" s="395"/>
      <c r="H524" s="395"/>
      <c r="I524" s="395"/>
      <c r="J524" s="395"/>
      <c r="K524" s="395"/>
      <c r="L524" s="395"/>
      <c r="N524" s="395"/>
      <c r="O524" s="395"/>
      <c r="P524" s="395"/>
      <c r="Q524" s="395"/>
      <c r="R524" s="395"/>
    </row>
    <row r="525" spans="2:18" x14ac:dyDescent="0.25">
      <c r="B525" s="413"/>
      <c r="C525" s="395"/>
      <c r="D525" s="395"/>
      <c r="E525" s="395"/>
      <c r="F525" s="395"/>
      <c r="H525" s="395"/>
      <c r="I525" s="395"/>
      <c r="J525" s="395"/>
      <c r="K525" s="395"/>
      <c r="L525" s="395"/>
      <c r="N525" s="395"/>
      <c r="O525" s="395"/>
      <c r="P525" s="395"/>
      <c r="Q525" s="395"/>
      <c r="R525" s="395"/>
    </row>
    <row r="526" spans="2:18" x14ac:dyDescent="0.25">
      <c r="B526" s="413"/>
      <c r="C526" s="395"/>
      <c r="D526" s="395"/>
      <c r="E526" s="395"/>
      <c r="F526" s="395"/>
      <c r="H526" s="395"/>
      <c r="I526" s="395"/>
      <c r="J526" s="395"/>
      <c r="K526" s="395"/>
      <c r="L526" s="395"/>
      <c r="N526" s="395"/>
      <c r="O526" s="395"/>
      <c r="P526" s="395"/>
      <c r="Q526" s="395"/>
      <c r="R526" s="395"/>
    </row>
    <row r="527" spans="2:18" x14ac:dyDescent="0.25">
      <c r="B527" s="413"/>
      <c r="C527" s="395"/>
      <c r="D527" s="395"/>
      <c r="E527" s="395"/>
      <c r="F527" s="395"/>
      <c r="H527" s="395"/>
      <c r="I527" s="395"/>
      <c r="J527" s="395"/>
      <c r="K527" s="395"/>
      <c r="L527" s="395"/>
      <c r="N527" s="395"/>
      <c r="O527" s="395"/>
      <c r="P527" s="395"/>
      <c r="Q527" s="395"/>
      <c r="R527" s="395"/>
    </row>
    <row r="528" spans="2:18" x14ac:dyDescent="0.25">
      <c r="B528" s="413"/>
      <c r="C528" s="395"/>
      <c r="D528" s="395"/>
      <c r="E528" s="395"/>
      <c r="F528" s="395"/>
      <c r="H528" s="395"/>
      <c r="I528" s="395"/>
      <c r="J528" s="395"/>
      <c r="K528" s="395"/>
      <c r="L528" s="395"/>
      <c r="N528" s="395"/>
      <c r="O528" s="395"/>
      <c r="P528" s="395"/>
      <c r="Q528" s="395"/>
      <c r="R528" s="395"/>
    </row>
    <row r="529" spans="2:18" x14ac:dyDescent="0.25">
      <c r="B529" s="413"/>
      <c r="C529" s="395"/>
      <c r="D529" s="395"/>
      <c r="E529" s="395"/>
      <c r="F529" s="395"/>
      <c r="H529" s="395"/>
      <c r="I529" s="395"/>
      <c r="J529" s="395"/>
      <c r="K529" s="395"/>
      <c r="L529" s="395"/>
      <c r="N529" s="395"/>
      <c r="O529" s="395"/>
      <c r="P529" s="395"/>
      <c r="Q529" s="395"/>
      <c r="R529" s="395"/>
    </row>
    <row r="530" spans="2:18" x14ac:dyDescent="0.25">
      <c r="B530" s="413"/>
      <c r="C530" s="395"/>
      <c r="D530" s="395"/>
      <c r="E530" s="395"/>
      <c r="F530" s="395"/>
      <c r="H530" s="395"/>
      <c r="I530" s="395"/>
      <c r="J530" s="395"/>
      <c r="K530" s="395"/>
      <c r="L530" s="395"/>
      <c r="N530" s="395"/>
      <c r="O530" s="395"/>
      <c r="P530" s="395"/>
      <c r="Q530" s="395"/>
      <c r="R530" s="395"/>
    </row>
    <row r="531" spans="2:18" x14ac:dyDescent="0.25">
      <c r="B531" s="413"/>
      <c r="C531" s="395"/>
      <c r="D531" s="395"/>
      <c r="E531" s="395"/>
      <c r="F531" s="395"/>
      <c r="H531" s="395"/>
      <c r="I531" s="395"/>
      <c r="J531" s="395"/>
      <c r="K531" s="395"/>
      <c r="L531" s="395"/>
      <c r="N531" s="395"/>
      <c r="O531" s="395"/>
      <c r="P531" s="395"/>
      <c r="Q531" s="395"/>
      <c r="R531" s="395"/>
    </row>
    <row r="532" spans="2:18" x14ac:dyDescent="0.25">
      <c r="B532" s="413"/>
      <c r="C532" s="395"/>
      <c r="D532" s="395"/>
      <c r="E532" s="395"/>
      <c r="F532" s="395"/>
      <c r="H532" s="395"/>
      <c r="I532" s="395"/>
      <c r="J532" s="395"/>
      <c r="K532" s="395"/>
      <c r="L532" s="395"/>
      <c r="N532" s="395"/>
      <c r="O532" s="395"/>
      <c r="P532" s="395"/>
      <c r="Q532" s="395"/>
      <c r="R532" s="395"/>
    </row>
    <row r="533" spans="2:18" x14ac:dyDescent="0.25">
      <c r="B533" s="413"/>
      <c r="C533" s="395"/>
      <c r="D533" s="395"/>
      <c r="E533" s="395"/>
      <c r="F533" s="395"/>
      <c r="H533" s="395"/>
      <c r="I533" s="395"/>
      <c r="J533" s="395"/>
      <c r="K533" s="395"/>
      <c r="L533" s="395"/>
      <c r="N533" s="395"/>
      <c r="O533" s="395"/>
      <c r="P533" s="395"/>
      <c r="Q533" s="395"/>
      <c r="R533" s="395"/>
    </row>
    <row r="534" spans="2:18" x14ac:dyDescent="0.25">
      <c r="B534" s="413"/>
      <c r="C534" s="395"/>
      <c r="D534" s="395"/>
      <c r="E534" s="395"/>
      <c r="F534" s="395"/>
      <c r="H534" s="395"/>
      <c r="I534" s="395"/>
      <c r="J534" s="395"/>
      <c r="K534" s="395"/>
      <c r="L534" s="395"/>
      <c r="N534" s="395"/>
      <c r="O534" s="395"/>
      <c r="P534" s="395"/>
      <c r="Q534" s="395"/>
      <c r="R534" s="395"/>
    </row>
    <row r="535" spans="2:18" x14ac:dyDescent="0.25">
      <c r="B535" s="413"/>
      <c r="C535" s="395"/>
      <c r="D535" s="395"/>
      <c r="E535" s="395"/>
      <c r="F535" s="395"/>
      <c r="H535" s="395"/>
      <c r="I535" s="395"/>
      <c r="J535" s="395"/>
      <c r="K535" s="395"/>
      <c r="L535" s="395"/>
      <c r="N535" s="395"/>
      <c r="O535" s="395"/>
      <c r="P535" s="395"/>
      <c r="Q535" s="395"/>
      <c r="R535" s="395"/>
    </row>
    <row r="536" spans="2:18" x14ac:dyDescent="0.25">
      <c r="B536" s="413"/>
      <c r="C536" s="395"/>
      <c r="D536" s="395"/>
      <c r="E536" s="395"/>
      <c r="F536" s="395"/>
      <c r="H536" s="395"/>
      <c r="I536" s="395"/>
      <c r="J536" s="395"/>
      <c r="K536" s="395"/>
      <c r="L536" s="395"/>
      <c r="N536" s="395"/>
      <c r="O536" s="395"/>
      <c r="P536" s="395"/>
      <c r="Q536" s="395"/>
      <c r="R536" s="395"/>
    </row>
    <row r="537" spans="2:18" x14ac:dyDescent="0.25">
      <c r="B537" s="413"/>
      <c r="C537" s="395"/>
      <c r="D537" s="395"/>
      <c r="E537" s="395"/>
      <c r="F537" s="395"/>
      <c r="H537" s="395"/>
      <c r="I537" s="395"/>
      <c r="J537" s="395"/>
      <c r="K537" s="395"/>
      <c r="L537" s="395"/>
      <c r="N537" s="395"/>
      <c r="O537" s="395"/>
      <c r="P537" s="395"/>
      <c r="Q537" s="395"/>
      <c r="R537" s="395"/>
    </row>
    <row r="538" spans="2:18" x14ac:dyDescent="0.25">
      <c r="B538" s="413"/>
      <c r="C538" s="395"/>
      <c r="D538" s="395"/>
      <c r="E538" s="395"/>
      <c r="F538" s="395"/>
      <c r="H538" s="395"/>
      <c r="I538" s="395"/>
      <c r="J538" s="395"/>
      <c r="K538" s="395"/>
      <c r="L538" s="395"/>
      <c r="N538" s="395"/>
      <c r="O538" s="395"/>
      <c r="P538" s="395"/>
      <c r="Q538" s="395"/>
      <c r="R538" s="395"/>
    </row>
    <row r="539" spans="2:18" x14ac:dyDescent="0.25">
      <c r="B539" s="413"/>
      <c r="C539" s="395"/>
      <c r="D539" s="395"/>
      <c r="E539" s="395"/>
      <c r="F539" s="395"/>
      <c r="H539" s="395"/>
      <c r="I539" s="395"/>
      <c r="J539" s="395"/>
      <c r="K539" s="395"/>
      <c r="L539" s="395"/>
      <c r="N539" s="395"/>
      <c r="O539" s="395"/>
      <c r="P539" s="395"/>
      <c r="Q539" s="395"/>
      <c r="R539" s="395"/>
    </row>
    <row r="540" spans="2:18" x14ac:dyDescent="0.25">
      <c r="B540" s="413"/>
      <c r="C540" s="395"/>
      <c r="D540" s="395"/>
      <c r="E540" s="395"/>
      <c r="F540" s="395"/>
      <c r="H540" s="395"/>
      <c r="I540" s="395"/>
      <c r="J540" s="395"/>
      <c r="K540" s="395"/>
      <c r="L540" s="395"/>
      <c r="N540" s="395"/>
      <c r="O540" s="395"/>
      <c r="P540" s="395"/>
      <c r="Q540" s="395"/>
      <c r="R540" s="395"/>
    </row>
    <row r="541" spans="2:18" x14ac:dyDescent="0.25">
      <c r="B541" s="413"/>
      <c r="C541" s="395"/>
      <c r="D541" s="395"/>
      <c r="E541" s="395"/>
      <c r="F541" s="395"/>
      <c r="H541" s="395"/>
      <c r="I541" s="395"/>
      <c r="J541" s="395"/>
      <c r="K541" s="395"/>
      <c r="L541" s="395"/>
      <c r="N541" s="395"/>
      <c r="O541" s="395"/>
      <c r="P541" s="395"/>
      <c r="Q541" s="395"/>
      <c r="R541" s="395"/>
    </row>
    <row r="542" spans="2:18" x14ac:dyDescent="0.25">
      <c r="B542" s="413"/>
      <c r="C542" s="395"/>
      <c r="D542" s="395"/>
      <c r="E542" s="395"/>
      <c r="F542" s="395"/>
      <c r="H542" s="395"/>
      <c r="I542" s="395"/>
      <c r="J542" s="395"/>
      <c r="K542" s="395"/>
      <c r="L542" s="395"/>
      <c r="N542" s="395"/>
      <c r="O542" s="395"/>
      <c r="P542" s="395"/>
      <c r="Q542" s="395"/>
      <c r="R542" s="395"/>
    </row>
    <row r="543" spans="2:18" x14ac:dyDescent="0.25">
      <c r="B543" s="413"/>
      <c r="C543" s="395"/>
      <c r="D543" s="395"/>
      <c r="E543" s="395"/>
      <c r="F543" s="395"/>
      <c r="H543" s="395"/>
      <c r="I543" s="395"/>
      <c r="J543" s="395"/>
      <c r="K543" s="395"/>
      <c r="L543" s="395"/>
      <c r="N543" s="395"/>
      <c r="O543" s="395"/>
      <c r="P543" s="395"/>
      <c r="Q543" s="395"/>
      <c r="R543" s="395"/>
    </row>
    <row r="544" spans="2:18" x14ac:dyDescent="0.25">
      <c r="B544" s="413"/>
      <c r="C544" s="395"/>
      <c r="D544" s="395"/>
      <c r="E544" s="395"/>
      <c r="F544" s="395"/>
      <c r="H544" s="395"/>
      <c r="I544" s="395"/>
      <c r="J544" s="395"/>
      <c r="K544" s="395"/>
      <c r="L544" s="395"/>
      <c r="N544" s="395"/>
      <c r="O544" s="395"/>
      <c r="P544" s="395"/>
      <c r="Q544" s="395"/>
      <c r="R544" s="395"/>
    </row>
    <row r="545" spans="2:18" x14ac:dyDescent="0.25">
      <c r="B545" s="413"/>
      <c r="C545" s="395"/>
      <c r="D545" s="395"/>
      <c r="E545" s="395"/>
      <c r="F545" s="395"/>
      <c r="H545" s="395"/>
      <c r="I545" s="395"/>
      <c r="J545" s="395"/>
      <c r="K545" s="395"/>
      <c r="L545" s="395"/>
      <c r="N545" s="395"/>
      <c r="O545" s="395"/>
      <c r="P545" s="395"/>
      <c r="Q545" s="395"/>
      <c r="R545" s="395"/>
    </row>
    <row r="546" spans="2:18" x14ac:dyDescent="0.25">
      <c r="B546" s="413"/>
      <c r="C546" s="395"/>
      <c r="D546" s="395"/>
      <c r="E546" s="395"/>
      <c r="F546" s="395"/>
      <c r="H546" s="395"/>
      <c r="I546" s="395"/>
      <c r="J546" s="395"/>
      <c r="K546" s="395"/>
      <c r="L546" s="395"/>
      <c r="N546" s="395"/>
      <c r="O546" s="395"/>
      <c r="P546" s="395"/>
      <c r="Q546" s="395"/>
      <c r="R546" s="395"/>
    </row>
    <row r="547" spans="2:18" x14ac:dyDescent="0.25">
      <c r="B547" s="413"/>
      <c r="C547" s="395"/>
      <c r="D547" s="395"/>
      <c r="E547" s="395"/>
      <c r="F547" s="395"/>
      <c r="H547" s="395"/>
      <c r="I547" s="395"/>
      <c r="J547" s="395"/>
      <c r="K547" s="395"/>
      <c r="L547" s="395"/>
      <c r="N547" s="395"/>
      <c r="O547" s="395"/>
      <c r="P547" s="395"/>
      <c r="Q547" s="395"/>
      <c r="R547" s="395"/>
    </row>
    <row r="548" spans="2:18" x14ac:dyDescent="0.25">
      <c r="B548" s="413"/>
      <c r="C548" s="395"/>
      <c r="D548" s="395"/>
      <c r="E548" s="395"/>
      <c r="F548" s="395"/>
      <c r="H548" s="395"/>
      <c r="I548" s="395"/>
      <c r="J548" s="395"/>
      <c r="K548" s="395"/>
      <c r="L548" s="395"/>
      <c r="N548" s="395"/>
      <c r="O548" s="395"/>
      <c r="P548" s="395"/>
      <c r="Q548" s="395"/>
      <c r="R548" s="395"/>
    </row>
    <row r="549" spans="2:18" x14ac:dyDescent="0.25">
      <c r="B549" s="413"/>
      <c r="C549" s="395"/>
      <c r="D549" s="395"/>
      <c r="E549" s="395"/>
      <c r="F549" s="395"/>
      <c r="H549" s="395"/>
      <c r="I549" s="395"/>
      <c r="J549" s="395"/>
      <c r="K549" s="395"/>
      <c r="L549" s="395"/>
      <c r="N549" s="395"/>
      <c r="O549" s="395"/>
      <c r="P549" s="395"/>
      <c r="Q549" s="395"/>
      <c r="R549" s="395"/>
    </row>
    <row r="550" spans="2:18" x14ac:dyDescent="0.25">
      <c r="B550" s="413"/>
      <c r="C550" s="395"/>
      <c r="D550" s="395"/>
      <c r="E550" s="395"/>
      <c r="F550" s="395"/>
      <c r="H550" s="395"/>
      <c r="I550" s="395"/>
      <c r="J550" s="395"/>
      <c r="K550" s="395"/>
      <c r="L550" s="395"/>
      <c r="N550" s="395"/>
      <c r="O550" s="395"/>
      <c r="P550" s="395"/>
      <c r="Q550" s="395"/>
      <c r="R550" s="395"/>
    </row>
    <row r="551" spans="2:18" x14ac:dyDescent="0.25">
      <c r="B551" s="413"/>
      <c r="C551" s="395"/>
      <c r="D551" s="395"/>
      <c r="E551" s="395"/>
      <c r="F551" s="395"/>
      <c r="H551" s="395"/>
      <c r="I551" s="395"/>
      <c r="J551" s="395"/>
      <c r="K551" s="395"/>
      <c r="L551" s="395"/>
      <c r="N551" s="395"/>
      <c r="O551" s="395"/>
      <c r="P551" s="395"/>
      <c r="Q551" s="395"/>
      <c r="R551" s="395"/>
    </row>
    <row r="552" spans="2:18" x14ac:dyDescent="0.25">
      <c r="B552" s="413"/>
      <c r="C552" s="395"/>
      <c r="D552" s="395"/>
      <c r="E552" s="395"/>
      <c r="F552" s="395"/>
      <c r="H552" s="395"/>
      <c r="I552" s="395"/>
      <c r="J552" s="395"/>
      <c r="K552" s="395"/>
      <c r="L552" s="395"/>
      <c r="N552" s="395"/>
      <c r="O552" s="395"/>
      <c r="P552" s="395"/>
      <c r="Q552" s="395"/>
      <c r="R552" s="395"/>
    </row>
    <row r="553" spans="2:18" x14ac:dyDescent="0.25">
      <c r="B553" s="413"/>
      <c r="C553" s="395"/>
      <c r="D553" s="395"/>
      <c r="E553" s="395"/>
      <c r="F553" s="395"/>
      <c r="H553" s="395"/>
      <c r="I553" s="395"/>
      <c r="J553" s="395"/>
      <c r="K553" s="395"/>
      <c r="L553" s="395"/>
      <c r="N553" s="395"/>
      <c r="O553" s="395"/>
      <c r="P553" s="395"/>
      <c r="Q553" s="395"/>
      <c r="R553" s="395"/>
    </row>
    <row r="554" spans="2:18" x14ac:dyDescent="0.25">
      <c r="B554" s="413"/>
      <c r="C554" s="395"/>
      <c r="D554" s="395"/>
      <c r="E554" s="395"/>
      <c r="F554" s="395"/>
      <c r="H554" s="395"/>
      <c r="I554" s="395"/>
      <c r="J554" s="395"/>
      <c r="K554" s="395"/>
      <c r="L554" s="395"/>
      <c r="N554" s="395"/>
      <c r="O554" s="395"/>
      <c r="P554" s="395"/>
      <c r="Q554" s="395"/>
      <c r="R554" s="395"/>
    </row>
    <row r="555" spans="2:18" x14ac:dyDescent="0.25">
      <c r="B555" s="413"/>
      <c r="C555" s="395"/>
      <c r="D555" s="395"/>
      <c r="E555" s="395"/>
      <c r="F555" s="395"/>
      <c r="H555" s="395"/>
      <c r="I555" s="395"/>
      <c r="J555" s="395"/>
      <c r="K555" s="395"/>
      <c r="L555" s="395"/>
      <c r="N555" s="395"/>
      <c r="O555" s="395"/>
      <c r="P555" s="395"/>
      <c r="Q555" s="395"/>
      <c r="R555" s="395"/>
    </row>
    <row r="556" spans="2:18" x14ac:dyDescent="0.25">
      <c r="B556" s="413"/>
      <c r="C556" s="395"/>
      <c r="D556" s="395"/>
      <c r="E556" s="395"/>
      <c r="F556" s="395"/>
      <c r="H556" s="395"/>
      <c r="I556" s="395"/>
      <c r="J556" s="395"/>
      <c r="K556" s="395"/>
      <c r="L556" s="395"/>
      <c r="N556" s="395"/>
      <c r="O556" s="395"/>
      <c r="P556" s="395"/>
      <c r="Q556" s="395"/>
      <c r="R556" s="395"/>
    </row>
    <row r="557" spans="2:18" x14ac:dyDescent="0.25">
      <c r="B557" s="413"/>
      <c r="C557" s="395"/>
      <c r="D557" s="395"/>
      <c r="E557" s="395"/>
      <c r="F557" s="395"/>
      <c r="H557" s="395"/>
      <c r="I557" s="395"/>
      <c r="J557" s="395"/>
      <c r="K557" s="395"/>
      <c r="L557" s="395"/>
      <c r="N557" s="395"/>
      <c r="O557" s="395"/>
      <c r="P557" s="395"/>
      <c r="Q557" s="395"/>
      <c r="R557" s="395"/>
    </row>
    <row r="558" spans="2:18" x14ac:dyDescent="0.25">
      <c r="B558" s="413"/>
      <c r="C558" s="395"/>
      <c r="D558" s="395"/>
      <c r="E558" s="395"/>
      <c r="F558" s="395"/>
      <c r="H558" s="395"/>
      <c r="I558" s="395"/>
      <c r="J558" s="395"/>
      <c r="K558" s="395"/>
      <c r="L558" s="395"/>
      <c r="N558" s="395"/>
      <c r="O558" s="395"/>
      <c r="P558" s="395"/>
      <c r="Q558" s="395"/>
      <c r="R558" s="395"/>
    </row>
    <row r="559" spans="2:18" x14ac:dyDescent="0.25">
      <c r="B559" s="413"/>
      <c r="C559" s="395"/>
      <c r="D559" s="395"/>
      <c r="E559" s="395"/>
      <c r="F559" s="395"/>
      <c r="H559" s="395"/>
      <c r="I559" s="395"/>
      <c r="J559" s="395"/>
      <c r="K559" s="395"/>
      <c r="L559" s="395"/>
      <c r="N559" s="395"/>
      <c r="O559" s="395"/>
      <c r="P559" s="395"/>
      <c r="Q559" s="395"/>
      <c r="R559" s="395"/>
    </row>
    <row r="560" spans="2:18" x14ac:dyDescent="0.25">
      <c r="B560" s="413"/>
      <c r="C560" s="395"/>
      <c r="D560" s="395"/>
      <c r="E560" s="395"/>
      <c r="F560" s="395"/>
      <c r="H560" s="395"/>
      <c r="I560" s="395"/>
      <c r="J560" s="395"/>
      <c r="K560" s="395"/>
      <c r="L560" s="395"/>
      <c r="N560" s="395"/>
      <c r="O560" s="395"/>
      <c r="P560" s="395"/>
      <c r="Q560" s="395"/>
      <c r="R560" s="395"/>
    </row>
    <row r="561" spans="2:18" x14ac:dyDescent="0.25">
      <c r="B561" s="413"/>
      <c r="C561" s="395"/>
      <c r="D561" s="395"/>
      <c r="E561" s="395"/>
      <c r="F561" s="395"/>
      <c r="H561" s="395"/>
      <c r="I561" s="395"/>
      <c r="J561" s="395"/>
      <c r="K561" s="395"/>
      <c r="L561" s="395"/>
      <c r="N561" s="395"/>
      <c r="O561" s="395"/>
      <c r="P561" s="395"/>
      <c r="Q561" s="395"/>
      <c r="R561" s="395"/>
    </row>
    <row r="562" spans="2:18" x14ac:dyDescent="0.25">
      <c r="B562" s="413"/>
      <c r="C562" s="395"/>
      <c r="D562" s="395"/>
      <c r="E562" s="395"/>
      <c r="F562" s="395"/>
      <c r="H562" s="395"/>
      <c r="I562" s="395"/>
      <c r="J562" s="395"/>
      <c r="K562" s="395"/>
      <c r="L562" s="395"/>
      <c r="N562" s="395"/>
      <c r="O562" s="395"/>
      <c r="P562" s="395"/>
      <c r="Q562" s="395"/>
      <c r="R562" s="395"/>
    </row>
    <row r="563" spans="2:18" x14ac:dyDescent="0.25">
      <c r="B563" s="413"/>
      <c r="C563" s="395"/>
      <c r="D563" s="395"/>
      <c r="E563" s="395"/>
      <c r="F563" s="395"/>
      <c r="H563" s="395"/>
      <c r="I563" s="395"/>
      <c r="J563" s="395"/>
      <c r="K563" s="395"/>
      <c r="L563" s="395"/>
      <c r="N563" s="395"/>
      <c r="O563" s="395"/>
      <c r="P563" s="395"/>
      <c r="Q563" s="395"/>
      <c r="R563" s="395"/>
    </row>
    <row r="564" spans="2:18" x14ac:dyDescent="0.25">
      <c r="B564" s="413"/>
      <c r="C564" s="395"/>
      <c r="D564" s="395"/>
      <c r="E564" s="395"/>
      <c r="F564" s="395"/>
      <c r="H564" s="395"/>
      <c r="I564" s="395"/>
      <c r="J564" s="395"/>
      <c r="K564" s="395"/>
      <c r="L564" s="395"/>
      <c r="N564" s="395"/>
      <c r="O564" s="395"/>
      <c r="P564" s="395"/>
      <c r="Q564" s="395"/>
      <c r="R564" s="395"/>
    </row>
    <row r="565" spans="2:18" x14ac:dyDescent="0.25">
      <c r="B565" s="413"/>
      <c r="C565" s="395"/>
      <c r="D565" s="395"/>
      <c r="E565" s="395"/>
      <c r="F565" s="395"/>
      <c r="H565" s="395"/>
      <c r="I565" s="395"/>
      <c r="J565" s="395"/>
      <c r="K565" s="395"/>
      <c r="L565" s="395"/>
      <c r="N565" s="395"/>
      <c r="O565" s="395"/>
      <c r="P565" s="395"/>
      <c r="Q565" s="395"/>
      <c r="R565" s="395"/>
    </row>
    <row r="566" spans="2:18" x14ac:dyDescent="0.25">
      <c r="B566" s="413"/>
      <c r="C566" s="395"/>
      <c r="D566" s="395"/>
      <c r="E566" s="395"/>
      <c r="F566" s="395"/>
      <c r="H566" s="395"/>
      <c r="I566" s="395"/>
      <c r="J566" s="395"/>
      <c r="K566" s="395"/>
      <c r="L566" s="395"/>
      <c r="N566" s="395"/>
      <c r="O566" s="395"/>
      <c r="P566" s="395"/>
      <c r="Q566" s="395"/>
      <c r="R566" s="395"/>
    </row>
    <row r="567" spans="2:18" x14ac:dyDescent="0.25">
      <c r="B567" s="413"/>
      <c r="C567" s="395"/>
      <c r="D567" s="395"/>
      <c r="E567" s="395"/>
      <c r="F567" s="395"/>
      <c r="H567" s="395"/>
      <c r="I567" s="395"/>
      <c r="J567" s="395"/>
      <c r="K567" s="395"/>
      <c r="L567" s="395"/>
      <c r="N567" s="395"/>
      <c r="O567" s="395"/>
      <c r="P567" s="395"/>
      <c r="Q567" s="395"/>
      <c r="R567" s="395"/>
    </row>
    <row r="568" spans="2:18" x14ac:dyDescent="0.25">
      <c r="B568" s="413"/>
      <c r="C568" s="395"/>
      <c r="D568" s="395"/>
      <c r="E568" s="395"/>
      <c r="F568" s="395"/>
      <c r="H568" s="395"/>
      <c r="I568" s="395"/>
      <c r="J568" s="395"/>
      <c r="K568" s="395"/>
      <c r="L568" s="395"/>
      <c r="N568" s="395"/>
      <c r="O568" s="395"/>
      <c r="P568" s="395"/>
      <c r="Q568" s="395"/>
      <c r="R568" s="395"/>
    </row>
    <row r="569" spans="2:18" x14ac:dyDescent="0.25">
      <c r="B569" s="413"/>
      <c r="C569" s="395"/>
      <c r="D569" s="395"/>
      <c r="E569" s="395"/>
      <c r="F569" s="395"/>
      <c r="H569" s="395"/>
      <c r="I569" s="395"/>
      <c r="J569" s="395"/>
      <c r="K569" s="395"/>
      <c r="L569" s="395"/>
      <c r="N569" s="395"/>
      <c r="O569" s="395"/>
      <c r="P569" s="395"/>
      <c r="Q569" s="395"/>
      <c r="R569" s="395"/>
    </row>
    <row r="570" spans="2:18" x14ac:dyDescent="0.25">
      <c r="B570" s="413"/>
      <c r="C570" s="395"/>
      <c r="D570" s="395"/>
      <c r="E570" s="395"/>
      <c r="F570" s="395"/>
      <c r="H570" s="395"/>
      <c r="I570" s="395"/>
      <c r="J570" s="395"/>
      <c r="K570" s="395"/>
      <c r="L570" s="395"/>
      <c r="N570" s="395"/>
      <c r="O570" s="395"/>
      <c r="P570" s="395"/>
      <c r="Q570" s="395"/>
      <c r="R570" s="395"/>
    </row>
    <row r="571" spans="2:18" x14ac:dyDescent="0.25">
      <c r="B571" s="413"/>
      <c r="C571" s="395"/>
      <c r="D571" s="395"/>
      <c r="E571" s="395"/>
      <c r="F571" s="395"/>
      <c r="H571" s="395"/>
      <c r="I571" s="395"/>
      <c r="J571" s="395"/>
      <c r="K571" s="395"/>
      <c r="L571" s="395"/>
      <c r="N571" s="395"/>
      <c r="O571" s="395"/>
      <c r="P571" s="395"/>
      <c r="Q571" s="395"/>
      <c r="R571" s="395"/>
    </row>
    <row r="572" spans="2:18" x14ac:dyDescent="0.25">
      <c r="B572" s="413"/>
      <c r="C572" s="395"/>
      <c r="D572" s="395"/>
      <c r="E572" s="395"/>
      <c r="F572" s="395"/>
      <c r="H572" s="395"/>
      <c r="I572" s="395"/>
      <c r="J572" s="395"/>
      <c r="K572" s="395"/>
      <c r="L572" s="395"/>
      <c r="N572" s="395"/>
      <c r="O572" s="395"/>
      <c r="P572" s="395"/>
      <c r="Q572" s="395"/>
      <c r="R572" s="395"/>
    </row>
    <row r="573" spans="2:18" x14ac:dyDescent="0.25">
      <c r="B573" s="413"/>
      <c r="C573" s="395"/>
      <c r="D573" s="395"/>
      <c r="E573" s="395"/>
      <c r="F573" s="395"/>
      <c r="H573" s="395"/>
      <c r="I573" s="395"/>
      <c r="J573" s="395"/>
      <c r="K573" s="395"/>
      <c r="L573" s="395"/>
      <c r="N573" s="395"/>
      <c r="O573" s="395"/>
      <c r="P573" s="395"/>
      <c r="Q573" s="395"/>
      <c r="R573" s="395"/>
    </row>
    <row r="574" spans="2:18" x14ac:dyDescent="0.25">
      <c r="B574" s="413"/>
      <c r="C574" s="395"/>
      <c r="D574" s="395"/>
      <c r="E574" s="395"/>
      <c r="F574" s="395"/>
      <c r="H574" s="395"/>
      <c r="I574" s="395"/>
      <c r="J574" s="395"/>
      <c r="K574" s="395"/>
      <c r="L574" s="395"/>
      <c r="N574" s="395"/>
      <c r="O574" s="395"/>
      <c r="P574" s="395"/>
      <c r="Q574" s="395"/>
      <c r="R574" s="395"/>
    </row>
    <row r="575" spans="2:18" x14ac:dyDescent="0.25">
      <c r="B575" s="413"/>
      <c r="C575" s="395"/>
      <c r="D575" s="395"/>
      <c r="E575" s="395"/>
      <c r="F575" s="395"/>
      <c r="H575" s="395"/>
      <c r="I575" s="395"/>
      <c r="J575" s="395"/>
      <c r="K575" s="395"/>
      <c r="L575" s="395"/>
      <c r="N575" s="395"/>
      <c r="O575" s="395"/>
      <c r="P575" s="395"/>
      <c r="Q575" s="395"/>
      <c r="R575" s="395"/>
    </row>
    <row r="576" spans="2:18" x14ac:dyDescent="0.25">
      <c r="B576" s="413"/>
      <c r="C576" s="395"/>
      <c r="D576" s="395"/>
      <c r="E576" s="395"/>
      <c r="F576" s="395"/>
      <c r="H576" s="395"/>
      <c r="I576" s="395"/>
      <c r="J576" s="395"/>
      <c r="K576" s="395"/>
      <c r="L576" s="395"/>
      <c r="N576" s="395"/>
      <c r="O576" s="395"/>
      <c r="P576" s="395"/>
      <c r="Q576" s="395"/>
      <c r="R576" s="395"/>
    </row>
    <row r="577" spans="2:18" x14ac:dyDescent="0.25">
      <c r="B577" s="413"/>
      <c r="C577" s="395"/>
      <c r="D577" s="395"/>
      <c r="E577" s="395"/>
      <c r="F577" s="395"/>
      <c r="H577" s="395"/>
      <c r="I577" s="395"/>
      <c r="J577" s="395"/>
      <c r="K577" s="395"/>
      <c r="L577" s="395"/>
      <c r="N577" s="395"/>
      <c r="O577" s="395"/>
      <c r="P577" s="395"/>
      <c r="Q577" s="395"/>
      <c r="R577" s="395"/>
    </row>
    <row r="578" spans="2:18" x14ac:dyDescent="0.25">
      <c r="B578" s="413"/>
      <c r="C578" s="395"/>
      <c r="D578" s="395"/>
      <c r="E578" s="395"/>
      <c r="F578" s="395"/>
      <c r="H578" s="395"/>
      <c r="I578" s="395"/>
      <c r="J578" s="395"/>
      <c r="K578" s="395"/>
      <c r="L578" s="395"/>
      <c r="N578" s="395"/>
      <c r="O578" s="395"/>
      <c r="P578" s="395"/>
      <c r="Q578" s="395"/>
      <c r="R578" s="395"/>
    </row>
    <row r="579" spans="2:18" x14ac:dyDescent="0.25">
      <c r="B579" s="413"/>
      <c r="C579" s="395"/>
      <c r="D579" s="395"/>
      <c r="E579" s="395"/>
      <c r="F579" s="395"/>
      <c r="H579" s="395"/>
      <c r="I579" s="395"/>
      <c r="J579" s="395"/>
      <c r="K579" s="395"/>
      <c r="L579" s="395"/>
      <c r="N579" s="395"/>
      <c r="O579" s="395"/>
      <c r="P579" s="395"/>
      <c r="Q579" s="395"/>
      <c r="R579" s="395"/>
    </row>
    <row r="580" spans="2:18" x14ac:dyDescent="0.25">
      <c r="B580" s="413"/>
      <c r="C580" s="395"/>
      <c r="D580" s="395"/>
      <c r="E580" s="395"/>
      <c r="F580" s="395"/>
      <c r="H580" s="395"/>
      <c r="I580" s="395"/>
      <c r="J580" s="395"/>
      <c r="K580" s="395"/>
      <c r="L580" s="395"/>
      <c r="N580" s="395"/>
      <c r="O580" s="395"/>
      <c r="P580" s="395"/>
      <c r="Q580" s="395"/>
      <c r="R580" s="395"/>
    </row>
    <row r="581" spans="2:18" x14ac:dyDescent="0.25">
      <c r="B581" s="413"/>
      <c r="C581" s="395"/>
      <c r="D581" s="395"/>
      <c r="E581" s="395"/>
      <c r="F581" s="395"/>
      <c r="H581" s="395"/>
      <c r="I581" s="395"/>
      <c r="J581" s="395"/>
      <c r="K581" s="395"/>
      <c r="L581" s="395"/>
      <c r="N581" s="395"/>
      <c r="O581" s="395"/>
      <c r="P581" s="395"/>
      <c r="Q581" s="395"/>
      <c r="R581" s="395"/>
    </row>
    <row r="582" spans="2:18" x14ac:dyDescent="0.25">
      <c r="B582" s="413"/>
      <c r="C582" s="395"/>
      <c r="D582" s="395"/>
      <c r="E582" s="395"/>
      <c r="F582" s="395"/>
      <c r="H582" s="395"/>
      <c r="I582" s="395"/>
      <c r="J582" s="395"/>
      <c r="K582" s="395"/>
      <c r="L582" s="395"/>
      <c r="N582" s="395"/>
      <c r="O582" s="395"/>
      <c r="P582" s="395"/>
      <c r="Q582" s="395"/>
      <c r="R582" s="395"/>
    </row>
    <row r="583" spans="2:18" x14ac:dyDescent="0.25">
      <c r="B583" s="413"/>
      <c r="C583" s="395"/>
      <c r="D583" s="395"/>
      <c r="E583" s="395"/>
      <c r="F583" s="395"/>
      <c r="H583" s="395"/>
      <c r="I583" s="395"/>
      <c r="J583" s="395"/>
      <c r="K583" s="395"/>
      <c r="L583" s="395"/>
      <c r="N583" s="395"/>
      <c r="O583" s="395"/>
      <c r="P583" s="395"/>
      <c r="Q583" s="395"/>
      <c r="R583" s="395"/>
    </row>
    <row r="584" spans="2:18" x14ac:dyDescent="0.25">
      <c r="B584" s="413"/>
      <c r="C584" s="395"/>
      <c r="D584" s="395"/>
      <c r="E584" s="395"/>
      <c r="F584" s="395"/>
      <c r="H584" s="395"/>
      <c r="I584" s="395"/>
      <c r="J584" s="395"/>
      <c r="K584" s="395"/>
      <c r="L584" s="395"/>
      <c r="N584" s="395"/>
      <c r="O584" s="395"/>
      <c r="P584" s="395"/>
      <c r="Q584" s="395"/>
      <c r="R584" s="395"/>
    </row>
    <row r="585" spans="2:18" x14ac:dyDescent="0.25">
      <c r="B585" s="413"/>
      <c r="C585" s="395"/>
      <c r="D585" s="395"/>
      <c r="E585" s="395"/>
      <c r="F585" s="395"/>
      <c r="H585" s="395"/>
      <c r="I585" s="395"/>
      <c r="J585" s="395"/>
      <c r="K585" s="395"/>
      <c r="L585" s="395"/>
      <c r="N585" s="395"/>
      <c r="O585" s="395"/>
      <c r="P585" s="395"/>
      <c r="Q585" s="395"/>
      <c r="R585" s="395"/>
    </row>
    <row r="586" spans="2:18" x14ac:dyDescent="0.25">
      <c r="B586" s="413"/>
      <c r="C586" s="395"/>
      <c r="D586" s="395"/>
      <c r="E586" s="395"/>
      <c r="F586" s="395"/>
      <c r="H586" s="395"/>
      <c r="I586" s="395"/>
      <c r="J586" s="395"/>
      <c r="K586" s="395"/>
      <c r="L586" s="395"/>
      <c r="N586" s="395"/>
      <c r="O586" s="395"/>
      <c r="P586" s="395"/>
      <c r="Q586" s="395"/>
      <c r="R586" s="395"/>
    </row>
    <row r="587" spans="2:18" x14ac:dyDescent="0.25">
      <c r="B587" s="413"/>
      <c r="C587" s="395"/>
      <c r="D587" s="395"/>
      <c r="E587" s="395"/>
      <c r="F587" s="395"/>
      <c r="H587" s="395"/>
      <c r="I587" s="395"/>
      <c r="J587" s="395"/>
      <c r="K587" s="395"/>
      <c r="L587" s="395"/>
      <c r="N587" s="395"/>
      <c r="O587" s="395"/>
      <c r="P587" s="395"/>
      <c r="Q587" s="395"/>
      <c r="R587" s="395"/>
    </row>
    <row r="588" spans="2:18" x14ac:dyDescent="0.25">
      <c r="B588" s="413"/>
      <c r="C588" s="395"/>
      <c r="D588" s="395"/>
      <c r="E588" s="395"/>
      <c r="F588" s="395"/>
      <c r="H588" s="395"/>
      <c r="I588" s="395"/>
      <c r="J588" s="395"/>
      <c r="K588" s="395"/>
      <c r="L588" s="395"/>
      <c r="N588" s="395"/>
      <c r="O588" s="395"/>
      <c r="P588" s="395"/>
      <c r="Q588" s="395"/>
      <c r="R588" s="395"/>
    </row>
    <row r="589" spans="2:18" x14ac:dyDescent="0.25">
      <c r="B589" s="413"/>
      <c r="C589" s="395"/>
      <c r="D589" s="395"/>
      <c r="E589" s="395"/>
      <c r="F589" s="395"/>
      <c r="H589" s="395"/>
      <c r="I589" s="395"/>
      <c r="J589" s="395"/>
      <c r="K589" s="395"/>
      <c r="L589" s="395"/>
      <c r="N589" s="395"/>
      <c r="O589" s="395"/>
      <c r="P589" s="395"/>
      <c r="Q589" s="395"/>
      <c r="R589" s="395"/>
    </row>
    <row r="590" spans="2:18" x14ac:dyDescent="0.25">
      <c r="B590" s="413"/>
      <c r="C590" s="395"/>
      <c r="D590" s="395"/>
      <c r="E590" s="395"/>
      <c r="F590" s="395"/>
      <c r="H590" s="395"/>
      <c r="I590" s="395"/>
      <c r="J590" s="395"/>
      <c r="K590" s="395"/>
      <c r="L590" s="395"/>
      <c r="N590" s="395"/>
      <c r="O590" s="395"/>
      <c r="P590" s="395"/>
      <c r="Q590" s="395"/>
      <c r="R590" s="395"/>
    </row>
    <row r="591" spans="2:18" x14ac:dyDescent="0.25">
      <c r="B591" s="413"/>
      <c r="C591" s="395"/>
      <c r="D591" s="395"/>
      <c r="E591" s="395"/>
      <c r="F591" s="395"/>
      <c r="H591" s="395"/>
      <c r="I591" s="395"/>
      <c r="J591" s="395"/>
      <c r="K591" s="395"/>
      <c r="L591" s="395"/>
      <c r="N591" s="395"/>
      <c r="O591" s="395"/>
      <c r="P591" s="395"/>
      <c r="Q591" s="395"/>
      <c r="R591" s="395"/>
    </row>
    <row r="592" spans="2:18" x14ac:dyDescent="0.25">
      <c r="B592" s="413"/>
      <c r="C592" s="395"/>
      <c r="D592" s="395"/>
      <c r="E592" s="395"/>
      <c r="F592" s="395"/>
      <c r="H592" s="395"/>
      <c r="I592" s="395"/>
      <c r="J592" s="395"/>
      <c r="K592" s="395"/>
      <c r="L592" s="395"/>
      <c r="N592" s="395"/>
      <c r="O592" s="395"/>
      <c r="P592" s="395"/>
      <c r="Q592" s="395"/>
      <c r="R592" s="395"/>
    </row>
    <row r="593" spans="2:18" x14ac:dyDescent="0.25">
      <c r="B593" s="413"/>
      <c r="C593" s="395"/>
      <c r="D593" s="395"/>
      <c r="E593" s="395"/>
      <c r="F593" s="395"/>
      <c r="H593" s="395"/>
      <c r="I593" s="395"/>
      <c r="J593" s="395"/>
      <c r="K593" s="395"/>
      <c r="L593" s="395"/>
      <c r="N593" s="395"/>
      <c r="O593" s="395"/>
      <c r="P593" s="395"/>
      <c r="Q593" s="395"/>
      <c r="R593" s="395"/>
    </row>
    <row r="594" spans="2:18" x14ac:dyDescent="0.25">
      <c r="B594" s="413"/>
      <c r="C594" s="395"/>
      <c r="D594" s="395"/>
      <c r="E594" s="395"/>
      <c r="F594" s="395"/>
      <c r="H594" s="395"/>
      <c r="I594" s="395"/>
      <c r="J594" s="395"/>
      <c r="K594" s="395"/>
      <c r="L594" s="395"/>
      <c r="N594" s="395"/>
      <c r="O594" s="395"/>
      <c r="P594" s="395"/>
      <c r="Q594" s="395"/>
      <c r="R594" s="395"/>
    </row>
    <row r="595" spans="2:18" x14ac:dyDescent="0.25">
      <c r="B595" s="413"/>
      <c r="C595" s="395"/>
      <c r="D595" s="395"/>
      <c r="E595" s="395"/>
      <c r="F595" s="395"/>
      <c r="H595" s="395"/>
      <c r="I595" s="395"/>
      <c r="J595" s="395"/>
      <c r="K595" s="395"/>
      <c r="L595" s="395"/>
      <c r="N595" s="395"/>
      <c r="O595" s="395"/>
      <c r="P595" s="395"/>
      <c r="Q595" s="395"/>
      <c r="R595" s="395"/>
    </row>
    <row r="596" spans="2:18" x14ac:dyDescent="0.25">
      <c r="B596" s="413"/>
      <c r="C596" s="395"/>
      <c r="D596" s="395"/>
      <c r="E596" s="395"/>
      <c r="F596" s="395"/>
      <c r="H596" s="395"/>
      <c r="I596" s="395"/>
      <c r="J596" s="395"/>
      <c r="K596" s="395"/>
      <c r="L596" s="395"/>
      <c r="N596" s="395"/>
      <c r="O596" s="395"/>
      <c r="P596" s="395"/>
      <c r="Q596" s="395"/>
      <c r="R596" s="395"/>
    </row>
    <row r="597" spans="2:18" x14ac:dyDescent="0.25">
      <c r="B597" s="413"/>
      <c r="C597" s="395"/>
      <c r="D597" s="395"/>
      <c r="E597" s="395"/>
      <c r="F597" s="395"/>
      <c r="H597" s="395"/>
      <c r="I597" s="395"/>
      <c r="J597" s="395"/>
      <c r="K597" s="395"/>
      <c r="L597" s="395"/>
      <c r="N597" s="395"/>
      <c r="O597" s="395"/>
      <c r="P597" s="395"/>
      <c r="Q597" s="395"/>
      <c r="R597" s="395"/>
    </row>
    <row r="598" spans="2:18" x14ac:dyDescent="0.25">
      <c r="B598" s="413"/>
      <c r="C598" s="395"/>
      <c r="D598" s="395"/>
      <c r="E598" s="395"/>
      <c r="F598" s="395"/>
      <c r="H598" s="395"/>
      <c r="I598" s="395"/>
      <c r="J598" s="395"/>
      <c r="K598" s="395"/>
      <c r="L598" s="395"/>
      <c r="N598" s="395"/>
      <c r="O598" s="395"/>
      <c r="P598" s="395"/>
      <c r="Q598" s="395"/>
      <c r="R598" s="395"/>
    </row>
    <row r="599" spans="2:18" x14ac:dyDescent="0.25">
      <c r="B599" s="413"/>
      <c r="C599" s="395"/>
      <c r="D599" s="395"/>
      <c r="E599" s="395"/>
      <c r="F599" s="395"/>
      <c r="H599" s="395"/>
      <c r="I599" s="395"/>
      <c r="J599" s="395"/>
      <c r="K599" s="395"/>
      <c r="L599" s="395"/>
      <c r="N599" s="395"/>
      <c r="O599" s="395"/>
      <c r="P599" s="395"/>
      <c r="Q599" s="395"/>
      <c r="R599" s="395"/>
    </row>
    <row r="600" spans="2:18" x14ac:dyDescent="0.25">
      <c r="B600" s="413"/>
      <c r="C600" s="395"/>
      <c r="D600" s="395"/>
      <c r="E600" s="395"/>
      <c r="F600" s="395"/>
      <c r="H600" s="395"/>
      <c r="I600" s="395"/>
      <c r="J600" s="395"/>
      <c r="K600" s="395"/>
      <c r="L600" s="395"/>
      <c r="N600" s="395"/>
      <c r="O600" s="395"/>
      <c r="P600" s="395"/>
      <c r="Q600" s="395"/>
      <c r="R600" s="395"/>
    </row>
    <row r="601" spans="2:18" x14ac:dyDescent="0.25">
      <c r="B601" s="413"/>
      <c r="C601" s="395"/>
      <c r="D601" s="395"/>
      <c r="E601" s="395"/>
      <c r="F601" s="395"/>
      <c r="H601" s="395"/>
      <c r="I601" s="395"/>
      <c r="J601" s="395"/>
      <c r="K601" s="395"/>
      <c r="L601" s="395"/>
      <c r="N601" s="395"/>
      <c r="O601" s="395"/>
      <c r="P601" s="395"/>
      <c r="Q601" s="395"/>
      <c r="R601" s="395"/>
    </row>
    <row r="602" spans="2:18" x14ac:dyDescent="0.25">
      <c r="B602" s="413"/>
      <c r="C602" s="395"/>
      <c r="D602" s="395"/>
      <c r="E602" s="395"/>
      <c r="F602" s="395"/>
      <c r="H602" s="395"/>
      <c r="I602" s="395"/>
      <c r="J602" s="395"/>
      <c r="K602" s="395"/>
      <c r="L602" s="395"/>
      <c r="N602" s="395"/>
      <c r="O602" s="395"/>
      <c r="P602" s="395"/>
      <c r="Q602" s="395"/>
      <c r="R602" s="395"/>
    </row>
    <row r="603" spans="2:18" x14ac:dyDescent="0.25">
      <c r="B603" s="413"/>
      <c r="C603" s="395"/>
      <c r="D603" s="395"/>
      <c r="E603" s="395"/>
      <c r="F603" s="395"/>
      <c r="H603" s="395"/>
      <c r="I603" s="395"/>
      <c r="J603" s="395"/>
      <c r="K603" s="395"/>
      <c r="L603" s="395"/>
      <c r="N603" s="395"/>
      <c r="O603" s="395"/>
      <c r="P603" s="395"/>
      <c r="Q603" s="395"/>
      <c r="R603" s="395"/>
    </row>
    <row r="604" spans="2:18" x14ac:dyDescent="0.25">
      <c r="B604" s="413"/>
      <c r="C604" s="395"/>
      <c r="D604" s="395"/>
      <c r="E604" s="395"/>
      <c r="F604" s="395"/>
      <c r="H604" s="395"/>
      <c r="I604" s="395"/>
      <c r="J604" s="395"/>
      <c r="K604" s="395"/>
      <c r="L604" s="395"/>
      <c r="N604" s="395"/>
      <c r="O604" s="395"/>
      <c r="P604" s="395"/>
      <c r="Q604" s="395"/>
      <c r="R604" s="395"/>
    </row>
    <row r="605" spans="2:18" x14ac:dyDescent="0.25">
      <c r="B605" s="413"/>
      <c r="C605" s="395"/>
      <c r="D605" s="395"/>
      <c r="E605" s="395"/>
      <c r="F605" s="395"/>
      <c r="H605" s="395"/>
      <c r="I605" s="395"/>
      <c r="J605" s="395"/>
      <c r="K605" s="395"/>
      <c r="L605" s="395"/>
      <c r="N605" s="395"/>
      <c r="O605" s="395"/>
      <c r="P605" s="395"/>
      <c r="Q605" s="395"/>
      <c r="R605" s="395"/>
    </row>
    <row r="606" spans="2:18" x14ac:dyDescent="0.25">
      <c r="B606" s="413"/>
      <c r="C606" s="395"/>
      <c r="D606" s="395"/>
      <c r="E606" s="395"/>
      <c r="F606" s="395"/>
      <c r="H606" s="395"/>
      <c r="I606" s="395"/>
      <c r="J606" s="395"/>
      <c r="K606" s="395"/>
      <c r="L606" s="395"/>
      <c r="N606" s="395"/>
      <c r="O606" s="395"/>
      <c r="P606" s="395"/>
      <c r="Q606" s="395"/>
      <c r="R606" s="395"/>
    </row>
    <row r="607" spans="2:18" x14ac:dyDescent="0.25">
      <c r="B607" s="413"/>
      <c r="C607" s="395"/>
      <c r="D607" s="395"/>
      <c r="E607" s="395"/>
      <c r="F607" s="395"/>
      <c r="H607" s="395"/>
      <c r="I607" s="395"/>
      <c r="J607" s="395"/>
      <c r="K607" s="395"/>
      <c r="L607" s="395"/>
      <c r="N607" s="395"/>
      <c r="O607" s="395"/>
      <c r="P607" s="395"/>
      <c r="Q607" s="395"/>
      <c r="R607" s="395"/>
    </row>
    <row r="608" spans="2:18" x14ac:dyDescent="0.25">
      <c r="B608" s="413"/>
      <c r="C608" s="395"/>
      <c r="D608" s="395"/>
      <c r="E608" s="395"/>
      <c r="F608" s="395"/>
      <c r="H608" s="395"/>
      <c r="I608" s="395"/>
      <c r="J608" s="395"/>
      <c r="K608" s="395"/>
      <c r="L608" s="395"/>
      <c r="N608" s="395"/>
      <c r="O608" s="395"/>
      <c r="P608" s="395"/>
      <c r="Q608" s="395"/>
      <c r="R608" s="395"/>
    </row>
    <row r="609" spans="2:18" x14ac:dyDescent="0.25">
      <c r="B609" s="413"/>
      <c r="C609" s="395"/>
      <c r="D609" s="395"/>
      <c r="E609" s="395"/>
      <c r="F609" s="395"/>
      <c r="H609" s="395"/>
      <c r="I609" s="395"/>
      <c r="J609" s="395"/>
      <c r="K609" s="395"/>
      <c r="L609" s="395"/>
      <c r="N609" s="395"/>
      <c r="O609" s="395"/>
      <c r="P609" s="395"/>
      <c r="Q609" s="395"/>
      <c r="R609" s="395"/>
    </row>
    <row r="610" spans="2:18" x14ac:dyDescent="0.25">
      <c r="B610" s="413"/>
      <c r="C610" s="395"/>
      <c r="D610" s="395"/>
      <c r="E610" s="395"/>
      <c r="F610" s="395"/>
      <c r="H610" s="395"/>
      <c r="I610" s="395"/>
      <c r="J610" s="395"/>
      <c r="K610" s="395"/>
      <c r="L610" s="395"/>
      <c r="N610" s="395"/>
      <c r="O610" s="395"/>
      <c r="P610" s="395"/>
      <c r="Q610" s="395"/>
      <c r="R610" s="395"/>
    </row>
    <row r="611" spans="2:18" x14ac:dyDescent="0.25">
      <c r="B611" s="413"/>
      <c r="C611" s="395"/>
      <c r="D611" s="395"/>
      <c r="E611" s="395"/>
      <c r="F611" s="395"/>
      <c r="H611" s="395"/>
      <c r="I611" s="395"/>
      <c r="J611" s="395"/>
      <c r="K611" s="395"/>
      <c r="L611" s="395"/>
      <c r="N611" s="395"/>
      <c r="O611" s="395"/>
      <c r="P611" s="395"/>
      <c r="Q611" s="395"/>
      <c r="R611" s="395"/>
    </row>
    <row r="612" spans="2:18" x14ac:dyDescent="0.25">
      <c r="B612" s="413"/>
      <c r="C612" s="395"/>
      <c r="D612" s="395"/>
      <c r="E612" s="395"/>
      <c r="F612" s="395"/>
      <c r="H612" s="395"/>
      <c r="I612" s="395"/>
      <c r="J612" s="395"/>
      <c r="K612" s="395"/>
      <c r="L612" s="395"/>
      <c r="N612" s="395"/>
      <c r="O612" s="395"/>
      <c r="P612" s="395"/>
      <c r="Q612" s="395"/>
      <c r="R612" s="395"/>
    </row>
    <row r="613" spans="2:18" x14ac:dyDescent="0.25">
      <c r="B613" s="413"/>
      <c r="C613" s="395"/>
      <c r="D613" s="395"/>
      <c r="E613" s="395"/>
      <c r="F613" s="395"/>
      <c r="H613" s="395"/>
      <c r="I613" s="395"/>
      <c r="J613" s="395"/>
      <c r="K613" s="395"/>
      <c r="L613" s="395"/>
      <c r="N613" s="395"/>
      <c r="O613" s="395"/>
      <c r="P613" s="395"/>
      <c r="Q613" s="395"/>
      <c r="R613" s="395"/>
    </row>
    <row r="614" spans="2:18" x14ac:dyDescent="0.25">
      <c r="B614" s="413"/>
      <c r="C614" s="395"/>
      <c r="D614" s="395"/>
      <c r="E614" s="395"/>
      <c r="F614" s="395"/>
      <c r="H614" s="395"/>
      <c r="I614" s="395"/>
      <c r="J614" s="395"/>
      <c r="K614" s="395"/>
      <c r="L614" s="395"/>
      <c r="N614" s="395"/>
      <c r="O614" s="395"/>
      <c r="P614" s="395"/>
      <c r="Q614" s="395"/>
      <c r="R614" s="395"/>
    </row>
    <row r="615" spans="2:18" x14ac:dyDescent="0.25">
      <c r="B615" s="413"/>
      <c r="C615" s="395"/>
      <c r="D615" s="395"/>
      <c r="E615" s="395"/>
      <c r="F615" s="395"/>
      <c r="H615" s="395"/>
      <c r="I615" s="395"/>
      <c r="J615" s="395"/>
      <c r="K615" s="395"/>
      <c r="L615" s="395"/>
      <c r="N615" s="395"/>
      <c r="O615" s="395"/>
      <c r="P615" s="395"/>
      <c r="Q615" s="395"/>
      <c r="R615" s="395"/>
    </row>
    <row r="616" spans="2:18" x14ac:dyDescent="0.25">
      <c r="B616" s="413"/>
      <c r="C616" s="395"/>
      <c r="D616" s="395"/>
      <c r="E616" s="395"/>
      <c r="F616" s="395"/>
      <c r="H616" s="395"/>
      <c r="I616" s="395"/>
      <c r="J616" s="395"/>
      <c r="K616" s="395"/>
      <c r="L616" s="395"/>
      <c r="N616" s="395"/>
      <c r="O616" s="395"/>
      <c r="P616" s="395"/>
      <c r="Q616" s="395"/>
      <c r="R616" s="395"/>
    </row>
    <row r="617" spans="2:18" x14ac:dyDescent="0.25">
      <c r="B617" s="413"/>
      <c r="C617" s="395"/>
      <c r="D617" s="395"/>
      <c r="E617" s="395"/>
      <c r="F617" s="395"/>
      <c r="H617" s="395"/>
      <c r="I617" s="395"/>
      <c r="J617" s="395"/>
      <c r="K617" s="395"/>
      <c r="L617" s="395"/>
      <c r="N617" s="395"/>
      <c r="O617" s="395"/>
      <c r="P617" s="395"/>
      <c r="Q617" s="395"/>
      <c r="R617" s="395"/>
    </row>
    <row r="618" spans="2:18" x14ac:dyDescent="0.25">
      <c r="B618" s="413"/>
      <c r="C618" s="395"/>
      <c r="D618" s="395"/>
      <c r="E618" s="395"/>
      <c r="F618" s="395"/>
      <c r="H618" s="395"/>
      <c r="I618" s="395"/>
      <c r="J618" s="395"/>
      <c r="K618" s="395"/>
      <c r="L618" s="395"/>
      <c r="N618" s="395"/>
      <c r="O618" s="395"/>
      <c r="P618" s="395"/>
      <c r="Q618" s="395"/>
      <c r="R618" s="395"/>
    </row>
    <row r="619" spans="2:18" x14ac:dyDescent="0.25">
      <c r="B619" s="413"/>
      <c r="C619" s="395"/>
      <c r="D619" s="395"/>
      <c r="E619" s="395"/>
      <c r="F619" s="395"/>
      <c r="H619" s="395"/>
      <c r="I619" s="395"/>
      <c r="J619" s="395"/>
      <c r="K619" s="395"/>
      <c r="L619" s="395"/>
      <c r="N619" s="395"/>
      <c r="O619" s="395"/>
      <c r="P619" s="395"/>
      <c r="Q619" s="395"/>
      <c r="R619" s="395"/>
    </row>
    <row r="620" spans="2:18" x14ac:dyDescent="0.25">
      <c r="B620" s="413"/>
      <c r="C620" s="395"/>
      <c r="D620" s="395"/>
      <c r="E620" s="395"/>
      <c r="F620" s="395"/>
      <c r="H620" s="395"/>
      <c r="I620" s="395"/>
      <c r="J620" s="395"/>
      <c r="K620" s="395"/>
      <c r="L620" s="395"/>
      <c r="N620" s="395"/>
      <c r="O620" s="395"/>
      <c r="P620" s="395"/>
      <c r="Q620" s="395"/>
      <c r="R620" s="395"/>
    </row>
    <row r="621" spans="2:18" x14ac:dyDescent="0.25">
      <c r="B621" s="413"/>
      <c r="C621" s="395"/>
      <c r="D621" s="395"/>
      <c r="E621" s="395"/>
      <c r="F621" s="395"/>
      <c r="H621" s="395"/>
      <c r="I621" s="395"/>
      <c r="J621" s="395"/>
      <c r="K621" s="395"/>
      <c r="L621" s="395"/>
      <c r="N621" s="395"/>
      <c r="O621" s="395"/>
      <c r="P621" s="395"/>
      <c r="Q621" s="395"/>
      <c r="R621" s="395"/>
    </row>
    <row r="622" spans="2:18" x14ac:dyDescent="0.25">
      <c r="B622" s="413"/>
      <c r="C622" s="395"/>
      <c r="D622" s="395"/>
      <c r="E622" s="395"/>
      <c r="F622" s="395"/>
      <c r="H622" s="395"/>
      <c r="I622" s="395"/>
      <c r="J622" s="395"/>
      <c r="K622" s="395"/>
      <c r="L622" s="395"/>
      <c r="N622" s="395"/>
      <c r="O622" s="395"/>
      <c r="P622" s="395"/>
      <c r="Q622" s="395"/>
      <c r="R622" s="395"/>
    </row>
    <row r="623" spans="2:18" x14ac:dyDescent="0.25">
      <c r="B623" s="413"/>
      <c r="C623" s="395"/>
      <c r="D623" s="395"/>
      <c r="E623" s="395"/>
      <c r="F623" s="395"/>
      <c r="H623" s="395"/>
      <c r="I623" s="395"/>
      <c r="J623" s="395"/>
      <c r="K623" s="395"/>
      <c r="L623" s="395"/>
      <c r="N623" s="395"/>
      <c r="O623" s="395"/>
      <c r="P623" s="395"/>
      <c r="Q623" s="395"/>
      <c r="R623" s="395"/>
    </row>
    <row r="624" spans="2:18" x14ac:dyDescent="0.25">
      <c r="B624" s="413"/>
      <c r="C624" s="395"/>
      <c r="D624" s="395"/>
      <c r="E624" s="395"/>
      <c r="F624" s="395"/>
      <c r="H624" s="395"/>
      <c r="I624" s="395"/>
      <c r="J624" s="395"/>
      <c r="K624" s="395"/>
      <c r="L624" s="395"/>
      <c r="N624" s="395"/>
      <c r="O624" s="395"/>
      <c r="P624" s="395"/>
      <c r="Q624" s="395"/>
      <c r="R624" s="395"/>
    </row>
    <row r="625" spans="2:18" x14ac:dyDescent="0.25">
      <c r="B625" s="413"/>
      <c r="C625" s="395"/>
      <c r="D625" s="395"/>
      <c r="E625" s="395"/>
      <c r="F625" s="395"/>
      <c r="H625" s="395"/>
      <c r="I625" s="395"/>
      <c r="J625" s="395"/>
      <c r="K625" s="395"/>
      <c r="L625" s="395"/>
      <c r="N625" s="395"/>
      <c r="O625" s="395"/>
      <c r="P625" s="395"/>
      <c r="Q625" s="395"/>
      <c r="R625" s="395"/>
    </row>
    <row r="626" spans="2:18" x14ac:dyDescent="0.25">
      <c r="B626" s="413"/>
      <c r="C626" s="395"/>
      <c r="D626" s="395"/>
      <c r="E626" s="395"/>
      <c r="F626" s="395"/>
      <c r="H626" s="395"/>
      <c r="I626" s="395"/>
      <c r="J626" s="395"/>
      <c r="K626" s="395"/>
      <c r="L626" s="395"/>
      <c r="N626" s="395"/>
      <c r="O626" s="395"/>
      <c r="P626" s="395"/>
      <c r="Q626" s="395"/>
      <c r="R626" s="395"/>
    </row>
    <row r="627" spans="2:18" x14ac:dyDescent="0.25">
      <c r="B627" s="413"/>
      <c r="C627" s="395"/>
      <c r="D627" s="395"/>
      <c r="E627" s="395"/>
      <c r="F627" s="395"/>
      <c r="H627" s="395"/>
      <c r="I627" s="395"/>
      <c r="J627" s="395"/>
      <c r="K627" s="395"/>
      <c r="L627" s="395"/>
      <c r="N627" s="395"/>
      <c r="O627" s="395"/>
      <c r="P627" s="395"/>
      <c r="Q627" s="395"/>
      <c r="R627" s="395"/>
    </row>
    <row r="628" spans="2:18" x14ac:dyDescent="0.25">
      <c r="B628" s="413"/>
      <c r="C628" s="395"/>
      <c r="D628" s="395"/>
      <c r="E628" s="395"/>
      <c r="F628" s="395"/>
      <c r="H628" s="395"/>
      <c r="I628" s="395"/>
      <c r="J628" s="395"/>
      <c r="K628" s="395"/>
      <c r="L628" s="395"/>
      <c r="N628" s="395"/>
      <c r="O628" s="395"/>
      <c r="P628" s="395"/>
      <c r="Q628" s="395"/>
      <c r="R628" s="395"/>
    </row>
    <row r="629" spans="2:18" x14ac:dyDescent="0.25">
      <c r="B629" s="413"/>
      <c r="C629" s="395"/>
      <c r="D629" s="395"/>
      <c r="E629" s="395"/>
      <c r="F629" s="395"/>
      <c r="H629" s="395"/>
      <c r="I629" s="395"/>
      <c r="J629" s="395"/>
      <c r="K629" s="395"/>
      <c r="L629" s="395"/>
      <c r="N629" s="395"/>
      <c r="O629" s="395"/>
      <c r="P629" s="395"/>
      <c r="Q629" s="395"/>
      <c r="R629" s="395"/>
    </row>
    <row r="630" spans="2:18" x14ac:dyDescent="0.25">
      <c r="B630" s="413"/>
      <c r="C630" s="395"/>
      <c r="D630" s="395"/>
      <c r="E630" s="395"/>
      <c r="F630" s="395"/>
      <c r="H630" s="395"/>
      <c r="I630" s="395"/>
      <c r="J630" s="395"/>
      <c r="K630" s="395"/>
      <c r="L630" s="395"/>
      <c r="N630" s="395"/>
      <c r="O630" s="395"/>
      <c r="P630" s="395"/>
      <c r="Q630" s="395"/>
      <c r="R630" s="395"/>
    </row>
    <row r="631" spans="2:18" x14ac:dyDescent="0.25">
      <c r="B631" s="413"/>
      <c r="C631" s="395"/>
      <c r="D631" s="395"/>
      <c r="E631" s="395"/>
      <c r="F631" s="395"/>
      <c r="H631" s="395"/>
      <c r="I631" s="395"/>
      <c r="J631" s="395"/>
      <c r="K631" s="395"/>
      <c r="L631" s="395"/>
      <c r="N631" s="395"/>
      <c r="O631" s="395"/>
      <c r="P631" s="395"/>
      <c r="Q631" s="395"/>
      <c r="R631" s="395"/>
    </row>
    <row r="632" spans="2:18" x14ac:dyDescent="0.25">
      <c r="B632" s="413"/>
      <c r="C632" s="395"/>
      <c r="D632" s="395"/>
      <c r="E632" s="395"/>
      <c r="F632" s="395"/>
      <c r="H632" s="395"/>
      <c r="I632" s="395"/>
      <c r="J632" s="395"/>
      <c r="K632" s="395"/>
      <c r="L632" s="395"/>
      <c r="N632" s="395"/>
      <c r="O632" s="395"/>
      <c r="P632" s="395"/>
      <c r="Q632" s="395"/>
      <c r="R632" s="395"/>
    </row>
    <row r="633" spans="2:18" x14ac:dyDescent="0.25">
      <c r="B633" s="413"/>
      <c r="C633" s="395"/>
      <c r="D633" s="395"/>
      <c r="E633" s="395"/>
      <c r="F633" s="395"/>
      <c r="H633" s="395"/>
      <c r="I633" s="395"/>
      <c r="J633" s="395"/>
      <c r="K633" s="395"/>
      <c r="L633" s="395"/>
      <c r="N633" s="395"/>
      <c r="O633" s="395"/>
      <c r="P633" s="395"/>
      <c r="Q633" s="395"/>
      <c r="R633" s="395"/>
    </row>
    <row r="634" spans="2:18" x14ac:dyDescent="0.25">
      <c r="B634" s="413"/>
      <c r="C634" s="395"/>
      <c r="D634" s="395"/>
      <c r="E634" s="395"/>
      <c r="F634" s="395"/>
      <c r="H634" s="395"/>
      <c r="I634" s="395"/>
      <c r="J634" s="395"/>
      <c r="K634" s="395"/>
      <c r="L634" s="395"/>
      <c r="N634" s="395"/>
      <c r="O634" s="395"/>
      <c r="P634" s="395"/>
      <c r="Q634" s="395"/>
      <c r="R634" s="395"/>
    </row>
    <row r="635" spans="2:18" x14ac:dyDescent="0.25">
      <c r="B635" s="413"/>
      <c r="C635" s="395"/>
      <c r="D635" s="395"/>
      <c r="E635" s="395"/>
      <c r="F635" s="395"/>
      <c r="H635" s="395"/>
      <c r="I635" s="395"/>
      <c r="J635" s="395"/>
      <c r="K635" s="395"/>
      <c r="L635" s="395"/>
      <c r="N635" s="395"/>
      <c r="O635" s="395"/>
      <c r="P635" s="395"/>
      <c r="Q635" s="395"/>
      <c r="R635" s="395"/>
    </row>
    <row r="636" spans="2:18" x14ac:dyDescent="0.25">
      <c r="B636" s="413"/>
      <c r="C636" s="395"/>
      <c r="D636" s="395"/>
      <c r="E636" s="395"/>
      <c r="F636" s="395"/>
      <c r="H636" s="395"/>
      <c r="I636" s="395"/>
      <c r="J636" s="395"/>
      <c r="K636" s="395"/>
      <c r="L636" s="395"/>
      <c r="N636" s="395"/>
      <c r="O636" s="395"/>
      <c r="P636" s="395"/>
      <c r="Q636" s="395"/>
      <c r="R636" s="395"/>
    </row>
    <row r="637" spans="2:18" x14ac:dyDescent="0.25">
      <c r="B637" s="413"/>
      <c r="C637" s="395"/>
      <c r="D637" s="395"/>
      <c r="E637" s="395"/>
      <c r="F637" s="395"/>
      <c r="H637" s="395"/>
      <c r="I637" s="395"/>
      <c r="J637" s="395"/>
      <c r="K637" s="395"/>
      <c r="L637" s="395"/>
      <c r="N637" s="395"/>
      <c r="O637" s="395"/>
      <c r="P637" s="395"/>
      <c r="Q637" s="395"/>
      <c r="R637" s="395"/>
    </row>
    <row r="638" spans="2:18" x14ac:dyDescent="0.25">
      <c r="B638" s="413"/>
      <c r="C638" s="395"/>
      <c r="D638" s="395"/>
      <c r="E638" s="395"/>
      <c r="F638" s="395"/>
      <c r="H638" s="395"/>
      <c r="I638" s="395"/>
      <c r="J638" s="395"/>
      <c r="K638" s="395"/>
      <c r="L638" s="395"/>
      <c r="N638" s="395"/>
      <c r="O638" s="395"/>
      <c r="P638" s="395"/>
      <c r="Q638" s="395"/>
      <c r="R638" s="395"/>
    </row>
    <row r="639" spans="2:18" x14ac:dyDescent="0.25">
      <c r="B639" s="413"/>
      <c r="C639" s="395"/>
      <c r="D639" s="395"/>
      <c r="E639" s="395"/>
      <c r="F639" s="395"/>
      <c r="H639" s="395"/>
      <c r="I639" s="395"/>
      <c r="J639" s="395"/>
      <c r="K639" s="395"/>
      <c r="L639" s="395"/>
      <c r="N639" s="395"/>
      <c r="O639" s="395"/>
      <c r="P639" s="395"/>
      <c r="Q639" s="395"/>
      <c r="R639" s="395"/>
    </row>
    <row r="640" spans="2:18" x14ac:dyDescent="0.25">
      <c r="B640" s="413"/>
      <c r="C640" s="395"/>
      <c r="D640" s="395"/>
      <c r="E640" s="395"/>
      <c r="F640" s="395"/>
      <c r="H640" s="395"/>
      <c r="I640" s="395"/>
      <c r="J640" s="395"/>
      <c r="K640" s="395"/>
      <c r="L640" s="395"/>
      <c r="N640" s="395"/>
      <c r="O640" s="395"/>
      <c r="P640" s="395"/>
      <c r="Q640" s="395"/>
      <c r="R640" s="395"/>
    </row>
    <row r="641" spans="2:18" x14ac:dyDescent="0.25">
      <c r="B641" s="413"/>
      <c r="C641" s="395"/>
      <c r="D641" s="395"/>
      <c r="E641" s="395"/>
      <c r="F641" s="395"/>
      <c r="H641" s="395"/>
      <c r="I641" s="395"/>
      <c r="J641" s="395"/>
      <c r="K641" s="395"/>
      <c r="L641" s="395"/>
      <c r="N641" s="395"/>
      <c r="O641" s="395"/>
      <c r="P641" s="395"/>
      <c r="Q641" s="395"/>
      <c r="R641" s="395"/>
    </row>
    <row r="642" spans="2:18" x14ac:dyDescent="0.25">
      <c r="B642" s="413"/>
      <c r="C642" s="395"/>
      <c r="D642" s="395"/>
      <c r="E642" s="395"/>
      <c r="F642" s="395"/>
      <c r="H642" s="395"/>
      <c r="I642" s="395"/>
      <c r="J642" s="395"/>
      <c r="K642" s="395"/>
      <c r="L642" s="395"/>
      <c r="N642" s="395"/>
      <c r="O642" s="395"/>
      <c r="P642" s="395"/>
      <c r="Q642" s="395"/>
      <c r="R642" s="395"/>
    </row>
    <row r="643" spans="2:18" x14ac:dyDescent="0.25">
      <c r="B643" s="413"/>
      <c r="C643" s="395"/>
      <c r="D643" s="395"/>
      <c r="E643" s="395"/>
      <c r="F643" s="395"/>
      <c r="H643" s="395"/>
      <c r="I643" s="395"/>
      <c r="J643" s="395"/>
      <c r="K643" s="395"/>
      <c r="L643" s="395"/>
      <c r="N643" s="395"/>
      <c r="O643" s="395"/>
      <c r="P643" s="395"/>
      <c r="Q643" s="395"/>
      <c r="R643" s="395"/>
    </row>
    <row r="644" spans="2:18" x14ac:dyDescent="0.25">
      <c r="B644" s="413"/>
      <c r="C644" s="395"/>
      <c r="D644" s="395"/>
      <c r="E644" s="395"/>
      <c r="F644" s="395"/>
      <c r="H644" s="395"/>
      <c r="I644" s="395"/>
      <c r="J644" s="395"/>
      <c r="K644" s="395"/>
      <c r="L644" s="395"/>
      <c r="N644" s="395"/>
      <c r="O644" s="395"/>
      <c r="P644" s="395"/>
      <c r="Q644" s="395"/>
      <c r="R644" s="395"/>
    </row>
    <row r="645" spans="2:18" x14ac:dyDescent="0.25">
      <c r="B645" s="413"/>
      <c r="C645" s="395"/>
      <c r="D645" s="395"/>
      <c r="E645" s="395"/>
      <c r="F645" s="395"/>
      <c r="H645" s="395"/>
      <c r="I645" s="395"/>
      <c r="J645" s="395"/>
      <c r="K645" s="395"/>
      <c r="L645" s="395"/>
      <c r="N645" s="395"/>
      <c r="O645" s="395"/>
      <c r="P645" s="395"/>
      <c r="Q645" s="395"/>
      <c r="R645" s="395"/>
    </row>
    <row r="646" spans="2:18" x14ac:dyDescent="0.25">
      <c r="B646" s="413"/>
      <c r="C646" s="395"/>
      <c r="D646" s="395"/>
      <c r="E646" s="395"/>
      <c r="F646" s="395"/>
      <c r="H646" s="395"/>
      <c r="I646" s="395"/>
      <c r="J646" s="395"/>
      <c r="K646" s="395"/>
      <c r="L646" s="395"/>
      <c r="N646" s="395"/>
      <c r="O646" s="395"/>
      <c r="P646" s="395"/>
      <c r="Q646" s="395"/>
      <c r="R646" s="395"/>
    </row>
    <row r="647" spans="2:18" x14ac:dyDescent="0.25">
      <c r="B647" s="413"/>
      <c r="C647" s="395"/>
      <c r="D647" s="395"/>
      <c r="E647" s="395"/>
      <c r="F647" s="395"/>
      <c r="H647" s="395"/>
      <c r="I647" s="395"/>
      <c r="J647" s="395"/>
      <c r="K647" s="395"/>
      <c r="L647" s="395"/>
      <c r="N647" s="395"/>
      <c r="O647" s="395"/>
      <c r="P647" s="395"/>
      <c r="Q647" s="395"/>
      <c r="R647" s="395"/>
    </row>
    <row r="648" spans="2:18" x14ac:dyDescent="0.25">
      <c r="B648" s="413"/>
      <c r="C648" s="395"/>
      <c r="D648" s="395"/>
      <c r="E648" s="395"/>
      <c r="F648" s="395"/>
      <c r="H648" s="395"/>
      <c r="I648" s="395"/>
      <c r="J648" s="395"/>
      <c r="K648" s="395"/>
      <c r="L648" s="395"/>
      <c r="N648" s="395"/>
      <c r="O648" s="395"/>
      <c r="P648" s="395"/>
      <c r="Q648" s="395"/>
      <c r="R648" s="395"/>
    </row>
    <row r="649" spans="2:18" x14ac:dyDescent="0.25">
      <c r="B649" s="413"/>
      <c r="C649" s="395"/>
      <c r="D649" s="395"/>
      <c r="E649" s="395"/>
      <c r="F649" s="395"/>
      <c r="H649" s="395"/>
      <c r="I649" s="395"/>
      <c r="J649" s="395"/>
      <c r="K649" s="395"/>
      <c r="L649" s="395"/>
      <c r="N649" s="395"/>
      <c r="O649" s="395"/>
      <c r="P649" s="395"/>
      <c r="Q649" s="395"/>
      <c r="R649" s="395"/>
    </row>
    <row r="650" spans="2:18" x14ac:dyDescent="0.25">
      <c r="B650" s="413"/>
      <c r="C650" s="395"/>
      <c r="D650" s="395"/>
      <c r="E650" s="395"/>
      <c r="F650" s="395"/>
      <c r="H650" s="395"/>
      <c r="I650" s="395"/>
      <c r="J650" s="395"/>
      <c r="K650" s="395"/>
      <c r="L650" s="395"/>
      <c r="N650" s="395"/>
      <c r="O650" s="395"/>
      <c r="P650" s="395"/>
      <c r="Q650" s="395"/>
      <c r="R650" s="395"/>
    </row>
    <row r="651" spans="2:18" x14ac:dyDescent="0.25">
      <c r="B651" s="413"/>
      <c r="C651" s="395"/>
      <c r="D651" s="395"/>
      <c r="E651" s="395"/>
      <c r="F651" s="395"/>
      <c r="H651" s="395"/>
      <c r="I651" s="395"/>
      <c r="J651" s="395"/>
      <c r="K651" s="395"/>
      <c r="L651" s="395"/>
      <c r="N651" s="395"/>
      <c r="O651" s="395"/>
      <c r="P651" s="395"/>
      <c r="Q651" s="395"/>
      <c r="R651" s="395"/>
    </row>
    <row r="652" spans="2:18" x14ac:dyDescent="0.25">
      <c r="B652" s="413"/>
      <c r="C652" s="395"/>
      <c r="D652" s="395"/>
      <c r="E652" s="395"/>
      <c r="F652" s="395"/>
      <c r="H652" s="395"/>
      <c r="I652" s="395"/>
      <c r="J652" s="395"/>
      <c r="K652" s="395"/>
      <c r="L652" s="395"/>
      <c r="N652" s="395"/>
      <c r="O652" s="395"/>
      <c r="P652" s="395"/>
      <c r="Q652" s="395"/>
      <c r="R652" s="395"/>
    </row>
    <row r="653" spans="2:18" x14ac:dyDescent="0.25">
      <c r="B653" s="413"/>
      <c r="C653" s="395"/>
      <c r="D653" s="395"/>
      <c r="E653" s="395"/>
      <c r="F653" s="395"/>
      <c r="H653" s="395"/>
      <c r="I653" s="395"/>
      <c r="J653" s="395"/>
      <c r="K653" s="395"/>
      <c r="L653" s="395"/>
      <c r="N653" s="395"/>
      <c r="O653" s="395"/>
      <c r="P653" s="395"/>
      <c r="Q653" s="395"/>
      <c r="R653" s="395"/>
    </row>
    <row r="654" spans="2:18" x14ac:dyDescent="0.25">
      <c r="B654" s="413"/>
      <c r="C654" s="395"/>
      <c r="D654" s="395"/>
      <c r="E654" s="395"/>
      <c r="F654" s="395"/>
      <c r="H654" s="395"/>
      <c r="I654" s="395"/>
      <c r="J654" s="395"/>
      <c r="K654" s="395"/>
      <c r="L654" s="395"/>
      <c r="N654" s="395"/>
      <c r="O654" s="395"/>
      <c r="P654" s="395"/>
      <c r="Q654" s="395"/>
      <c r="R654" s="395"/>
    </row>
    <row r="655" spans="2:18" x14ac:dyDescent="0.25">
      <c r="B655" s="413"/>
      <c r="C655" s="395"/>
      <c r="D655" s="395"/>
      <c r="E655" s="395"/>
      <c r="F655" s="395"/>
      <c r="H655" s="395"/>
      <c r="I655" s="395"/>
      <c r="J655" s="395"/>
      <c r="K655" s="395"/>
      <c r="L655" s="395"/>
      <c r="N655" s="395"/>
      <c r="O655" s="395"/>
      <c r="P655" s="395"/>
      <c r="Q655" s="395"/>
      <c r="R655" s="395"/>
    </row>
    <row r="656" spans="2:18" x14ac:dyDescent="0.25">
      <c r="B656" s="413"/>
      <c r="C656" s="395"/>
      <c r="D656" s="395"/>
      <c r="E656" s="395"/>
      <c r="F656" s="395"/>
      <c r="H656" s="395"/>
      <c r="I656" s="395"/>
      <c r="J656" s="395"/>
      <c r="K656" s="395"/>
      <c r="L656" s="395"/>
      <c r="N656" s="395"/>
      <c r="O656" s="395"/>
      <c r="P656" s="395"/>
      <c r="Q656" s="395"/>
      <c r="R656" s="395"/>
    </row>
    <row r="657" spans="2:18" x14ac:dyDescent="0.25">
      <c r="B657" s="413"/>
      <c r="C657" s="395"/>
      <c r="D657" s="395"/>
      <c r="E657" s="395"/>
      <c r="F657" s="395"/>
      <c r="H657" s="395"/>
      <c r="I657" s="395"/>
      <c r="J657" s="395"/>
      <c r="K657" s="395"/>
      <c r="L657" s="395"/>
      <c r="N657" s="395"/>
      <c r="O657" s="395"/>
      <c r="P657" s="395"/>
      <c r="Q657" s="395"/>
      <c r="R657" s="395"/>
    </row>
    <row r="658" spans="2:18" x14ac:dyDescent="0.25">
      <c r="B658" s="413"/>
      <c r="C658" s="395"/>
      <c r="D658" s="395"/>
      <c r="E658" s="395"/>
      <c r="F658" s="395"/>
      <c r="H658" s="395"/>
      <c r="I658" s="395"/>
      <c r="J658" s="395"/>
      <c r="K658" s="395"/>
      <c r="L658" s="395"/>
      <c r="N658" s="395"/>
      <c r="O658" s="395"/>
      <c r="P658" s="395"/>
      <c r="Q658" s="395"/>
      <c r="R658" s="395"/>
    </row>
    <row r="659" spans="2:18" x14ac:dyDescent="0.25">
      <c r="B659" s="413"/>
      <c r="C659" s="395"/>
      <c r="D659" s="395"/>
      <c r="E659" s="395"/>
      <c r="F659" s="395"/>
      <c r="H659" s="395"/>
      <c r="I659" s="395"/>
      <c r="J659" s="395"/>
      <c r="K659" s="395"/>
      <c r="L659" s="395"/>
      <c r="N659" s="395"/>
      <c r="O659" s="395"/>
      <c r="P659" s="395"/>
      <c r="Q659" s="395"/>
      <c r="R659" s="395"/>
    </row>
    <row r="660" spans="2:18" x14ac:dyDescent="0.25">
      <c r="B660" s="413"/>
      <c r="C660" s="395"/>
      <c r="D660" s="395"/>
      <c r="E660" s="395"/>
      <c r="F660" s="395"/>
      <c r="H660" s="395"/>
      <c r="I660" s="395"/>
      <c r="J660" s="395"/>
      <c r="K660" s="395"/>
      <c r="L660" s="395"/>
      <c r="N660" s="395"/>
      <c r="O660" s="395"/>
      <c r="P660" s="395"/>
      <c r="Q660" s="395"/>
      <c r="R660" s="395"/>
    </row>
    <row r="661" spans="2:18" x14ac:dyDescent="0.25">
      <c r="B661" s="413"/>
      <c r="C661" s="395"/>
      <c r="D661" s="395"/>
      <c r="E661" s="395"/>
      <c r="F661" s="395"/>
      <c r="H661" s="395"/>
      <c r="I661" s="395"/>
      <c r="J661" s="395"/>
      <c r="K661" s="395"/>
      <c r="L661" s="395"/>
      <c r="N661" s="395"/>
      <c r="O661" s="395"/>
      <c r="P661" s="395"/>
      <c r="Q661" s="395"/>
      <c r="R661" s="395"/>
    </row>
    <row r="662" spans="2:18" x14ac:dyDescent="0.25">
      <c r="B662" s="413"/>
      <c r="C662" s="395"/>
      <c r="D662" s="395"/>
      <c r="E662" s="395"/>
      <c r="F662" s="395"/>
      <c r="H662" s="395"/>
      <c r="I662" s="395"/>
      <c r="J662" s="395"/>
      <c r="K662" s="395"/>
      <c r="L662" s="395"/>
      <c r="N662" s="395"/>
      <c r="O662" s="395"/>
      <c r="P662" s="395"/>
      <c r="Q662" s="395"/>
      <c r="R662" s="395"/>
    </row>
    <row r="663" spans="2:18" x14ac:dyDescent="0.25">
      <c r="B663" s="413"/>
      <c r="C663" s="395"/>
      <c r="D663" s="395"/>
      <c r="E663" s="395"/>
      <c r="F663" s="395"/>
      <c r="H663" s="395"/>
      <c r="I663" s="395"/>
      <c r="J663" s="395"/>
      <c r="K663" s="395"/>
      <c r="L663" s="395"/>
      <c r="N663" s="395"/>
      <c r="O663" s="395"/>
      <c r="P663" s="395"/>
      <c r="Q663" s="395"/>
      <c r="R663" s="395"/>
    </row>
    <row r="664" spans="2:18" x14ac:dyDescent="0.25">
      <c r="B664" s="413"/>
      <c r="C664" s="395"/>
      <c r="D664" s="395"/>
      <c r="E664" s="395"/>
      <c r="F664" s="395"/>
      <c r="H664" s="395"/>
      <c r="I664" s="395"/>
      <c r="J664" s="395"/>
      <c r="K664" s="395"/>
      <c r="L664" s="395"/>
      <c r="N664" s="395"/>
      <c r="O664" s="395"/>
      <c r="P664" s="395"/>
      <c r="Q664" s="395"/>
      <c r="R664" s="395"/>
    </row>
    <row r="665" spans="2:18" x14ac:dyDescent="0.25">
      <c r="B665" s="413"/>
      <c r="C665" s="395"/>
      <c r="D665" s="395"/>
      <c r="E665" s="395"/>
      <c r="F665" s="395"/>
      <c r="H665" s="395"/>
      <c r="I665" s="395"/>
      <c r="J665" s="395"/>
      <c r="K665" s="395"/>
      <c r="L665" s="395"/>
      <c r="N665" s="395"/>
      <c r="O665" s="395"/>
      <c r="P665" s="395"/>
      <c r="Q665" s="395"/>
      <c r="R665" s="395"/>
    </row>
    <row r="666" spans="2:18" x14ac:dyDescent="0.25">
      <c r="B666" s="413"/>
      <c r="C666" s="395"/>
      <c r="D666" s="395"/>
      <c r="E666" s="395"/>
      <c r="F666" s="395"/>
      <c r="H666" s="395"/>
      <c r="I666" s="395"/>
      <c r="J666" s="395"/>
      <c r="K666" s="395"/>
      <c r="L666" s="395"/>
      <c r="N666" s="395"/>
      <c r="O666" s="395"/>
      <c r="P666" s="395"/>
      <c r="Q666" s="395"/>
      <c r="R666" s="395"/>
    </row>
    <row r="667" spans="2:18" x14ac:dyDescent="0.25">
      <c r="B667" s="413"/>
      <c r="C667" s="395"/>
      <c r="D667" s="395"/>
      <c r="E667" s="395"/>
      <c r="F667" s="395"/>
      <c r="H667" s="395"/>
      <c r="I667" s="395"/>
      <c r="J667" s="395"/>
      <c r="K667" s="395"/>
      <c r="L667" s="395"/>
      <c r="N667" s="395"/>
      <c r="O667" s="395"/>
      <c r="P667" s="395"/>
      <c r="Q667" s="395"/>
      <c r="R667" s="395"/>
    </row>
    <row r="668" spans="2:18" x14ac:dyDescent="0.25">
      <c r="B668" s="413"/>
      <c r="C668" s="395"/>
      <c r="D668" s="395"/>
      <c r="E668" s="395"/>
      <c r="F668" s="395"/>
      <c r="H668" s="395"/>
      <c r="I668" s="395"/>
      <c r="J668" s="395"/>
      <c r="K668" s="395"/>
      <c r="L668" s="395"/>
      <c r="N668" s="395"/>
      <c r="O668" s="395"/>
      <c r="P668" s="395"/>
      <c r="Q668" s="395"/>
      <c r="R668" s="395"/>
    </row>
    <row r="669" spans="2:18" x14ac:dyDescent="0.25">
      <c r="B669" s="413"/>
      <c r="C669" s="395"/>
      <c r="D669" s="395"/>
      <c r="E669" s="395"/>
      <c r="F669" s="395"/>
      <c r="H669" s="395"/>
      <c r="I669" s="395"/>
      <c r="J669" s="395"/>
      <c r="K669" s="395"/>
      <c r="L669" s="395"/>
      <c r="N669" s="395"/>
      <c r="O669" s="395"/>
      <c r="P669" s="395"/>
      <c r="Q669" s="395"/>
      <c r="R669" s="395"/>
    </row>
    <row r="670" spans="2:18" x14ac:dyDescent="0.25">
      <c r="B670" s="413"/>
      <c r="C670" s="395"/>
      <c r="D670" s="395"/>
      <c r="E670" s="395"/>
      <c r="F670" s="395"/>
      <c r="H670" s="395"/>
      <c r="I670" s="395"/>
      <c r="J670" s="395"/>
      <c r="K670" s="395"/>
      <c r="L670" s="395"/>
      <c r="N670" s="395"/>
      <c r="O670" s="395"/>
      <c r="P670" s="395"/>
      <c r="Q670" s="395"/>
      <c r="R670" s="395"/>
    </row>
    <row r="671" spans="2:18" x14ac:dyDescent="0.25">
      <c r="B671" s="413"/>
      <c r="C671" s="395"/>
      <c r="D671" s="395"/>
      <c r="E671" s="395"/>
      <c r="F671" s="395"/>
      <c r="H671" s="395"/>
      <c r="I671" s="395"/>
      <c r="J671" s="395"/>
      <c r="K671" s="395"/>
      <c r="L671" s="395"/>
      <c r="N671" s="395"/>
      <c r="O671" s="395"/>
      <c r="P671" s="395"/>
      <c r="Q671" s="395"/>
      <c r="R671" s="395"/>
    </row>
    <row r="672" spans="2:18" x14ac:dyDescent="0.25">
      <c r="B672" s="413"/>
      <c r="C672" s="395"/>
      <c r="D672" s="395"/>
      <c r="E672" s="395"/>
      <c r="F672" s="395"/>
      <c r="H672" s="395"/>
      <c r="I672" s="395"/>
      <c r="J672" s="395"/>
      <c r="K672" s="395"/>
      <c r="L672" s="395"/>
      <c r="N672" s="395"/>
      <c r="O672" s="395"/>
      <c r="P672" s="395"/>
      <c r="Q672" s="395"/>
      <c r="R672" s="395"/>
    </row>
    <row r="673" spans="2:18" x14ac:dyDescent="0.25">
      <c r="B673" s="413"/>
      <c r="C673" s="395"/>
      <c r="D673" s="395"/>
      <c r="E673" s="395"/>
      <c r="F673" s="395"/>
      <c r="H673" s="395"/>
      <c r="I673" s="395"/>
      <c r="J673" s="395"/>
      <c r="K673" s="395"/>
      <c r="L673" s="395"/>
      <c r="N673" s="395"/>
      <c r="O673" s="395"/>
      <c r="P673" s="395"/>
      <c r="Q673" s="395"/>
      <c r="R673" s="395"/>
    </row>
    <row r="674" spans="2:18" x14ac:dyDescent="0.25">
      <c r="B674" s="413"/>
      <c r="C674" s="395"/>
      <c r="D674" s="395"/>
      <c r="E674" s="395"/>
      <c r="F674" s="395"/>
      <c r="H674" s="395"/>
      <c r="I674" s="395"/>
      <c r="J674" s="395"/>
      <c r="K674" s="395"/>
      <c r="L674" s="395"/>
      <c r="N674" s="395"/>
      <c r="O674" s="395"/>
      <c r="P674" s="395"/>
      <c r="Q674" s="395"/>
      <c r="R674" s="395"/>
    </row>
    <row r="675" spans="2:18" x14ac:dyDescent="0.25">
      <c r="B675" s="413"/>
      <c r="C675" s="395"/>
      <c r="D675" s="395"/>
      <c r="E675" s="395"/>
      <c r="F675" s="395"/>
      <c r="H675" s="395"/>
      <c r="I675" s="395"/>
      <c r="J675" s="395"/>
      <c r="K675" s="395"/>
      <c r="L675" s="395"/>
      <c r="N675" s="395"/>
      <c r="O675" s="395"/>
      <c r="P675" s="395"/>
      <c r="Q675" s="395"/>
      <c r="R675" s="395"/>
    </row>
    <row r="676" spans="2:18" x14ac:dyDescent="0.25">
      <c r="B676" s="413"/>
      <c r="C676" s="395"/>
      <c r="D676" s="395"/>
      <c r="E676" s="395"/>
      <c r="F676" s="395"/>
      <c r="H676" s="395"/>
      <c r="I676" s="395"/>
      <c r="J676" s="395"/>
      <c r="K676" s="395"/>
      <c r="L676" s="395"/>
      <c r="N676" s="395"/>
      <c r="O676" s="395"/>
      <c r="P676" s="395"/>
      <c r="Q676" s="395"/>
      <c r="R676" s="395"/>
    </row>
    <row r="677" spans="2:18" x14ac:dyDescent="0.25">
      <c r="B677" s="413"/>
      <c r="C677" s="395"/>
      <c r="D677" s="395"/>
      <c r="E677" s="395"/>
      <c r="F677" s="395"/>
      <c r="H677" s="395"/>
      <c r="I677" s="395"/>
      <c r="J677" s="395"/>
      <c r="K677" s="395"/>
      <c r="L677" s="395"/>
      <c r="N677" s="395"/>
      <c r="O677" s="395"/>
      <c r="P677" s="395"/>
      <c r="Q677" s="395"/>
      <c r="R677" s="395"/>
    </row>
    <row r="678" spans="2:18" x14ac:dyDescent="0.25">
      <c r="B678" s="413"/>
      <c r="C678" s="395"/>
      <c r="D678" s="395"/>
      <c r="E678" s="395"/>
      <c r="F678" s="395"/>
      <c r="H678" s="395"/>
      <c r="I678" s="395"/>
      <c r="J678" s="395"/>
      <c r="K678" s="395"/>
      <c r="L678" s="395"/>
      <c r="N678" s="395"/>
      <c r="O678" s="395"/>
      <c r="P678" s="395"/>
      <c r="Q678" s="395"/>
      <c r="R678" s="395"/>
    </row>
    <row r="679" spans="2:18" x14ac:dyDescent="0.25">
      <c r="B679" s="413"/>
      <c r="C679" s="395"/>
      <c r="D679" s="395"/>
      <c r="E679" s="395"/>
      <c r="F679" s="395"/>
      <c r="H679" s="395"/>
      <c r="I679" s="395"/>
      <c r="J679" s="395"/>
      <c r="K679" s="395"/>
      <c r="L679" s="395"/>
      <c r="N679" s="395"/>
      <c r="O679" s="395"/>
      <c r="P679" s="395"/>
      <c r="Q679" s="395"/>
      <c r="R679" s="395"/>
    </row>
    <row r="680" spans="2:18" x14ac:dyDescent="0.25">
      <c r="B680" s="413"/>
      <c r="C680" s="395"/>
      <c r="D680" s="395"/>
      <c r="E680" s="395"/>
      <c r="F680" s="395"/>
      <c r="H680" s="395"/>
      <c r="I680" s="395"/>
      <c r="J680" s="395"/>
      <c r="K680" s="395"/>
      <c r="L680" s="395"/>
      <c r="N680" s="395"/>
      <c r="O680" s="395"/>
      <c r="P680" s="395"/>
      <c r="Q680" s="395"/>
      <c r="R680" s="395"/>
    </row>
    <row r="681" spans="2:18" x14ac:dyDescent="0.25">
      <c r="B681" s="413"/>
      <c r="C681" s="395"/>
      <c r="D681" s="395"/>
      <c r="E681" s="395"/>
      <c r="F681" s="395"/>
      <c r="H681" s="395"/>
      <c r="I681" s="395"/>
      <c r="J681" s="395"/>
      <c r="K681" s="395"/>
      <c r="L681" s="395"/>
      <c r="N681" s="395"/>
      <c r="O681" s="395"/>
      <c r="P681" s="395"/>
      <c r="Q681" s="395"/>
      <c r="R681" s="395"/>
    </row>
    <row r="682" spans="2:18" x14ac:dyDescent="0.25">
      <c r="B682" s="413"/>
      <c r="C682" s="395"/>
      <c r="D682" s="395"/>
      <c r="E682" s="395"/>
      <c r="F682" s="395"/>
      <c r="H682" s="395"/>
      <c r="I682" s="395"/>
      <c r="J682" s="395"/>
      <c r="K682" s="395"/>
      <c r="L682" s="395"/>
      <c r="N682" s="395"/>
      <c r="O682" s="395"/>
      <c r="P682" s="395"/>
      <c r="Q682" s="395"/>
      <c r="R682" s="395"/>
    </row>
    <row r="683" spans="2:18" x14ac:dyDescent="0.25">
      <c r="B683" s="413"/>
      <c r="C683" s="395"/>
      <c r="D683" s="395"/>
      <c r="E683" s="395"/>
      <c r="F683" s="395"/>
      <c r="H683" s="395"/>
      <c r="I683" s="395"/>
      <c r="J683" s="395"/>
      <c r="K683" s="395"/>
      <c r="L683" s="395"/>
      <c r="N683" s="395"/>
      <c r="O683" s="395"/>
      <c r="P683" s="395"/>
      <c r="Q683" s="395"/>
      <c r="R683" s="395"/>
    </row>
    <row r="684" spans="2:18" x14ac:dyDescent="0.25">
      <c r="B684" s="413"/>
      <c r="C684" s="395"/>
      <c r="D684" s="395"/>
      <c r="E684" s="395"/>
      <c r="F684" s="395"/>
      <c r="H684" s="395"/>
      <c r="I684" s="395"/>
      <c r="J684" s="395"/>
      <c r="K684" s="395"/>
      <c r="L684" s="395"/>
      <c r="N684" s="395"/>
      <c r="O684" s="395"/>
      <c r="P684" s="395"/>
      <c r="Q684" s="395"/>
      <c r="R684" s="395"/>
    </row>
    <row r="685" spans="2:18" x14ac:dyDescent="0.25">
      <c r="B685" s="413"/>
      <c r="C685" s="395"/>
      <c r="D685" s="395"/>
      <c r="E685" s="395"/>
      <c r="F685" s="395"/>
      <c r="H685" s="395"/>
      <c r="I685" s="395"/>
      <c r="J685" s="395"/>
      <c r="K685" s="395"/>
      <c r="L685" s="395"/>
      <c r="N685" s="395"/>
      <c r="O685" s="395"/>
      <c r="P685" s="395"/>
      <c r="Q685" s="395"/>
      <c r="R685" s="395"/>
    </row>
    <row r="686" spans="2:18" x14ac:dyDescent="0.25">
      <c r="B686" s="413"/>
      <c r="C686" s="395"/>
      <c r="D686" s="395"/>
      <c r="E686" s="395"/>
      <c r="F686" s="395"/>
      <c r="H686" s="395"/>
      <c r="I686" s="395"/>
      <c r="J686" s="395"/>
      <c r="K686" s="395"/>
      <c r="L686" s="395"/>
      <c r="N686" s="395"/>
      <c r="O686" s="395"/>
      <c r="P686" s="395"/>
      <c r="Q686" s="395"/>
      <c r="R686" s="395"/>
    </row>
    <row r="687" spans="2:18" x14ac:dyDescent="0.25">
      <c r="B687" s="413"/>
      <c r="C687" s="395"/>
      <c r="D687" s="395"/>
      <c r="E687" s="395"/>
      <c r="F687" s="395"/>
      <c r="H687" s="395"/>
      <c r="I687" s="395"/>
      <c r="J687" s="395"/>
      <c r="K687" s="395"/>
      <c r="L687" s="395"/>
      <c r="N687" s="395"/>
      <c r="O687" s="395"/>
      <c r="P687" s="395"/>
      <c r="Q687" s="395"/>
      <c r="R687" s="395"/>
    </row>
    <row r="688" spans="2:18" x14ac:dyDescent="0.25">
      <c r="B688" s="413"/>
      <c r="C688" s="395"/>
      <c r="D688" s="395"/>
      <c r="E688" s="395"/>
      <c r="F688" s="395"/>
      <c r="H688" s="395"/>
      <c r="I688" s="395"/>
      <c r="J688" s="395"/>
      <c r="K688" s="395"/>
      <c r="L688" s="395"/>
      <c r="N688" s="395"/>
      <c r="O688" s="395"/>
      <c r="P688" s="395"/>
      <c r="Q688" s="395"/>
      <c r="R688" s="395"/>
    </row>
    <row r="689" spans="2:18" x14ac:dyDescent="0.25">
      <c r="B689" s="413"/>
      <c r="C689" s="395"/>
      <c r="D689" s="395"/>
      <c r="E689" s="395"/>
      <c r="F689" s="395"/>
      <c r="H689" s="395"/>
      <c r="I689" s="395"/>
      <c r="J689" s="395"/>
      <c r="K689" s="395"/>
      <c r="L689" s="395"/>
      <c r="N689" s="395"/>
      <c r="O689" s="395"/>
      <c r="P689" s="395"/>
      <c r="Q689" s="395"/>
      <c r="R689" s="395"/>
    </row>
    <row r="690" spans="2:18" x14ac:dyDescent="0.25">
      <c r="B690" s="413"/>
      <c r="C690" s="395"/>
      <c r="D690" s="395"/>
      <c r="E690" s="395"/>
      <c r="F690" s="395"/>
      <c r="H690" s="395"/>
      <c r="I690" s="395"/>
      <c r="J690" s="395"/>
      <c r="K690" s="395"/>
      <c r="L690" s="395"/>
      <c r="N690" s="395"/>
      <c r="O690" s="395"/>
      <c r="P690" s="395"/>
      <c r="Q690" s="395"/>
      <c r="R690" s="395"/>
    </row>
    <row r="691" spans="2:18" x14ac:dyDescent="0.25">
      <c r="B691" s="413"/>
      <c r="C691" s="395"/>
      <c r="D691" s="395"/>
      <c r="E691" s="395"/>
      <c r="F691" s="395"/>
      <c r="H691" s="395"/>
      <c r="I691" s="395"/>
      <c r="J691" s="395"/>
      <c r="K691" s="395"/>
      <c r="L691" s="395"/>
      <c r="N691" s="395"/>
      <c r="O691" s="395"/>
      <c r="P691" s="395"/>
      <c r="Q691" s="395"/>
      <c r="R691" s="395"/>
    </row>
    <row r="692" spans="2:18" x14ac:dyDescent="0.25">
      <c r="B692" s="413"/>
      <c r="C692" s="395"/>
      <c r="D692" s="395"/>
      <c r="E692" s="395"/>
      <c r="F692" s="395"/>
      <c r="H692" s="395"/>
      <c r="I692" s="395"/>
      <c r="J692" s="395"/>
      <c r="K692" s="395"/>
      <c r="L692" s="395"/>
      <c r="N692" s="395"/>
      <c r="O692" s="395"/>
      <c r="P692" s="395"/>
      <c r="Q692" s="395"/>
      <c r="R692" s="395"/>
    </row>
    <row r="693" spans="2:18" x14ac:dyDescent="0.25">
      <c r="B693" s="413"/>
      <c r="C693" s="395"/>
      <c r="D693" s="395"/>
      <c r="E693" s="395"/>
      <c r="F693" s="395"/>
      <c r="H693" s="395"/>
      <c r="I693" s="395"/>
      <c r="J693" s="395"/>
      <c r="K693" s="395"/>
      <c r="L693" s="395"/>
      <c r="N693" s="395"/>
      <c r="O693" s="395"/>
      <c r="P693" s="395"/>
      <c r="Q693" s="395"/>
      <c r="R693" s="395"/>
    </row>
    <row r="694" spans="2:18" x14ac:dyDescent="0.25">
      <c r="B694" s="413"/>
      <c r="C694" s="395"/>
      <c r="D694" s="395"/>
      <c r="E694" s="395"/>
      <c r="F694" s="395"/>
      <c r="H694" s="395"/>
      <c r="I694" s="395"/>
      <c r="J694" s="395"/>
      <c r="K694" s="395"/>
      <c r="L694" s="395"/>
      <c r="N694" s="395"/>
      <c r="O694" s="395"/>
      <c r="P694" s="395"/>
      <c r="Q694" s="395"/>
      <c r="R694" s="395"/>
    </row>
    <row r="695" spans="2:18" x14ac:dyDescent="0.25">
      <c r="B695" s="413"/>
      <c r="C695" s="395"/>
      <c r="D695" s="395"/>
      <c r="E695" s="395"/>
      <c r="F695" s="395"/>
      <c r="H695" s="395"/>
      <c r="I695" s="395"/>
      <c r="J695" s="395"/>
      <c r="K695" s="395"/>
      <c r="L695" s="395"/>
      <c r="N695" s="395"/>
      <c r="O695" s="395"/>
      <c r="P695" s="395"/>
      <c r="Q695" s="395"/>
      <c r="R695" s="395"/>
    </row>
    <row r="696" spans="2:18" x14ac:dyDescent="0.25">
      <c r="B696" s="413"/>
      <c r="C696" s="395"/>
      <c r="D696" s="395"/>
      <c r="E696" s="395"/>
      <c r="F696" s="395"/>
      <c r="H696" s="395"/>
      <c r="I696" s="395"/>
      <c r="J696" s="395"/>
      <c r="K696" s="395"/>
      <c r="L696" s="395"/>
      <c r="N696" s="395"/>
      <c r="O696" s="395"/>
      <c r="P696" s="395"/>
      <c r="Q696" s="395"/>
      <c r="R696" s="395"/>
    </row>
    <row r="697" spans="2:18" x14ac:dyDescent="0.25">
      <c r="B697" s="413"/>
      <c r="C697" s="395"/>
      <c r="D697" s="395"/>
      <c r="E697" s="395"/>
      <c r="F697" s="395"/>
      <c r="H697" s="395"/>
      <c r="I697" s="395"/>
      <c r="J697" s="395"/>
      <c r="K697" s="395"/>
      <c r="L697" s="395"/>
      <c r="N697" s="395"/>
      <c r="O697" s="395"/>
      <c r="P697" s="395"/>
      <c r="Q697" s="395"/>
      <c r="R697" s="395"/>
    </row>
    <row r="698" spans="2:18" x14ac:dyDescent="0.25">
      <c r="B698" s="413"/>
      <c r="C698" s="395"/>
      <c r="D698" s="395"/>
      <c r="E698" s="395"/>
      <c r="F698" s="395"/>
      <c r="H698" s="395"/>
      <c r="I698" s="395"/>
      <c r="J698" s="395"/>
      <c r="K698" s="395"/>
      <c r="L698" s="395"/>
      <c r="N698" s="395"/>
      <c r="O698" s="395"/>
      <c r="P698" s="395"/>
      <c r="Q698" s="395"/>
      <c r="R698" s="395"/>
    </row>
    <row r="699" spans="2:18" x14ac:dyDescent="0.25">
      <c r="B699" s="413"/>
      <c r="C699" s="395"/>
      <c r="D699" s="395"/>
      <c r="E699" s="395"/>
      <c r="F699" s="395"/>
      <c r="H699" s="395"/>
      <c r="I699" s="395"/>
      <c r="J699" s="395"/>
      <c r="K699" s="395"/>
      <c r="L699" s="395"/>
      <c r="N699" s="395"/>
      <c r="O699" s="395"/>
      <c r="P699" s="395"/>
      <c r="Q699" s="395"/>
      <c r="R699" s="395"/>
    </row>
    <row r="700" spans="2:18" x14ac:dyDescent="0.25">
      <c r="B700" s="413"/>
      <c r="C700" s="395"/>
      <c r="D700" s="395"/>
      <c r="E700" s="395"/>
      <c r="F700" s="395"/>
      <c r="H700" s="395"/>
      <c r="I700" s="395"/>
      <c r="J700" s="395"/>
      <c r="K700" s="395"/>
      <c r="L700" s="395"/>
      <c r="N700" s="395"/>
      <c r="O700" s="395"/>
      <c r="P700" s="395"/>
      <c r="Q700" s="395"/>
      <c r="R700" s="395"/>
    </row>
    <row r="701" spans="2:18" x14ac:dyDescent="0.25">
      <c r="B701" s="413"/>
      <c r="C701" s="395"/>
      <c r="D701" s="395"/>
      <c r="E701" s="395"/>
      <c r="F701" s="395"/>
      <c r="H701" s="395"/>
      <c r="I701" s="395"/>
      <c r="J701" s="395"/>
      <c r="K701" s="395"/>
      <c r="L701" s="395"/>
      <c r="N701" s="395"/>
      <c r="O701" s="395"/>
      <c r="P701" s="395"/>
      <c r="Q701" s="395"/>
      <c r="R701" s="395"/>
    </row>
    <row r="702" spans="2:18" x14ac:dyDescent="0.25">
      <c r="B702" s="413"/>
      <c r="C702" s="395"/>
      <c r="D702" s="395"/>
      <c r="E702" s="395"/>
      <c r="F702" s="395"/>
      <c r="H702" s="395"/>
      <c r="I702" s="395"/>
      <c r="J702" s="395"/>
      <c r="K702" s="395"/>
      <c r="L702" s="395"/>
      <c r="N702" s="395"/>
      <c r="O702" s="395"/>
      <c r="P702" s="395"/>
      <c r="Q702" s="395"/>
      <c r="R702" s="395"/>
    </row>
    <row r="703" spans="2:18" x14ac:dyDescent="0.25">
      <c r="B703" s="413"/>
      <c r="C703" s="395"/>
      <c r="D703" s="395"/>
      <c r="E703" s="395"/>
      <c r="F703" s="395"/>
      <c r="H703" s="395"/>
      <c r="I703" s="395"/>
      <c r="J703" s="395"/>
      <c r="K703" s="395"/>
      <c r="L703" s="395"/>
      <c r="N703" s="395"/>
      <c r="O703" s="395"/>
      <c r="P703" s="395"/>
      <c r="Q703" s="395"/>
      <c r="R703" s="395"/>
    </row>
    <row r="704" spans="2:18" x14ac:dyDescent="0.25">
      <c r="B704" s="413"/>
      <c r="C704" s="395"/>
      <c r="D704" s="395"/>
      <c r="E704" s="395"/>
      <c r="F704" s="395"/>
      <c r="H704" s="395"/>
      <c r="I704" s="395"/>
      <c r="J704" s="395"/>
      <c r="K704" s="395"/>
      <c r="L704" s="395"/>
      <c r="N704" s="395"/>
      <c r="O704" s="395"/>
      <c r="P704" s="395"/>
      <c r="Q704" s="395"/>
      <c r="R704" s="395"/>
    </row>
    <row r="705" spans="2:18" x14ac:dyDescent="0.25">
      <c r="B705" s="413"/>
      <c r="C705" s="395"/>
      <c r="D705" s="395"/>
      <c r="E705" s="395"/>
      <c r="F705" s="395"/>
      <c r="H705" s="395"/>
      <c r="I705" s="395"/>
      <c r="J705" s="395"/>
      <c r="K705" s="395"/>
      <c r="L705" s="395"/>
      <c r="N705" s="395"/>
      <c r="O705" s="395"/>
      <c r="P705" s="395"/>
      <c r="Q705" s="395"/>
      <c r="R705" s="395"/>
    </row>
    <row r="706" spans="2:18" x14ac:dyDescent="0.25">
      <c r="B706" s="413"/>
      <c r="C706" s="395"/>
      <c r="D706" s="395"/>
      <c r="E706" s="395"/>
      <c r="F706" s="395"/>
      <c r="H706" s="395"/>
      <c r="I706" s="395"/>
      <c r="J706" s="395"/>
      <c r="K706" s="395"/>
      <c r="L706" s="395"/>
      <c r="N706" s="395"/>
      <c r="O706" s="395"/>
      <c r="P706" s="395"/>
      <c r="Q706" s="395"/>
      <c r="R706" s="395"/>
    </row>
    <row r="707" spans="2:18" x14ac:dyDescent="0.25">
      <c r="B707" s="413"/>
      <c r="C707" s="395"/>
      <c r="D707" s="395"/>
      <c r="E707" s="395"/>
      <c r="F707" s="395"/>
      <c r="H707" s="395"/>
      <c r="I707" s="395"/>
      <c r="J707" s="395"/>
      <c r="K707" s="395"/>
      <c r="L707" s="395"/>
      <c r="N707" s="395"/>
      <c r="O707" s="395"/>
      <c r="P707" s="395"/>
      <c r="Q707" s="395"/>
      <c r="R707" s="395"/>
    </row>
    <row r="708" spans="2:18" x14ac:dyDescent="0.25">
      <c r="B708" s="413"/>
      <c r="C708" s="395"/>
      <c r="D708" s="395"/>
      <c r="E708" s="395"/>
      <c r="F708" s="395"/>
      <c r="H708" s="395"/>
      <c r="I708" s="395"/>
      <c r="J708" s="395"/>
      <c r="K708" s="395"/>
      <c r="L708" s="395"/>
      <c r="N708" s="395"/>
      <c r="O708" s="395"/>
      <c r="P708" s="395"/>
      <c r="Q708" s="395"/>
      <c r="R708" s="395"/>
    </row>
    <row r="709" spans="2:18" x14ac:dyDescent="0.25">
      <c r="B709" s="413"/>
      <c r="C709" s="395"/>
      <c r="D709" s="395"/>
      <c r="E709" s="395"/>
      <c r="F709" s="395"/>
      <c r="H709" s="395"/>
      <c r="I709" s="395"/>
      <c r="J709" s="395"/>
      <c r="K709" s="395"/>
      <c r="L709" s="395"/>
      <c r="N709" s="395"/>
      <c r="O709" s="395"/>
      <c r="P709" s="395"/>
      <c r="Q709" s="395"/>
      <c r="R709" s="395"/>
    </row>
    <row r="710" spans="2:18" x14ac:dyDescent="0.25">
      <c r="B710" s="413"/>
      <c r="C710" s="395"/>
      <c r="D710" s="395"/>
      <c r="E710" s="395"/>
      <c r="F710" s="395"/>
      <c r="H710" s="395"/>
      <c r="I710" s="395"/>
      <c r="J710" s="395"/>
      <c r="K710" s="395"/>
      <c r="L710" s="395"/>
      <c r="N710" s="395"/>
      <c r="O710" s="395"/>
      <c r="P710" s="395"/>
      <c r="Q710" s="395"/>
      <c r="R710" s="395"/>
    </row>
    <row r="711" spans="2:18" x14ac:dyDescent="0.25">
      <c r="B711" s="413"/>
      <c r="C711" s="395"/>
      <c r="D711" s="395"/>
      <c r="E711" s="395"/>
      <c r="F711" s="395"/>
      <c r="H711" s="395"/>
      <c r="I711" s="395"/>
      <c r="J711" s="395"/>
      <c r="K711" s="395"/>
      <c r="L711" s="395"/>
      <c r="N711" s="395"/>
      <c r="O711" s="395"/>
      <c r="P711" s="395"/>
      <c r="Q711" s="395"/>
      <c r="R711" s="395"/>
    </row>
    <row r="712" spans="2:18" x14ac:dyDescent="0.25">
      <c r="B712" s="413"/>
      <c r="C712" s="395"/>
      <c r="D712" s="395"/>
      <c r="E712" s="395"/>
      <c r="F712" s="395"/>
      <c r="H712" s="395"/>
      <c r="I712" s="395"/>
      <c r="J712" s="395"/>
      <c r="K712" s="395"/>
      <c r="L712" s="395"/>
      <c r="N712" s="395"/>
      <c r="O712" s="395"/>
      <c r="P712" s="395"/>
      <c r="Q712" s="395"/>
      <c r="R712" s="395"/>
    </row>
    <row r="713" spans="2:18" x14ac:dyDescent="0.25">
      <c r="B713" s="413"/>
      <c r="C713" s="395"/>
      <c r="D713" s="395"/>
      <c r="E713" s="395"/>
      <c r="F713" s="395"/>
      <c r="H713" s="395"/>
      <c r="I713" s="395"/>
      <c r="J713" s="395"/>
      <c r="K713" s="395"/>
      <c r="L713" s="395"/>
      <c r="N713" s="395"/>
      <c r="O713" s="395"/>
      <c r="P713" s="395"/>
      <c r="Q713" s="395"/>
      <c r="R713" s="395"/>
    </row>
    <row r="714" spans="2:18" x14ac:dyDescent="0.25">
      <c r="B714" s="413"/>
      <c r="C714" s="395"/>
      <c r="D714" s="395"/>
      <c r="E714" s="395"/>
      <c r="F714" s="395"/>
      <c r="H714" s="395"/>
      <c r="I714" s="395"/>
      <c r="J714" s="395"/>
      <c r="K714" s="395"/>
      <c r="L714" s="395"/>
      <c r="N714" s="395"/>
      <c r="O714" s="395"/>
      <c r="P714" s="395"/>
      <c r="Q714" s="395"/>
      <c r="R714" s="395"/>
    </row>
    <row r="715" spans="2:18" x14ac:dyDescent="0.25">
      <c r="B715" s="413"/>
      <c r="C715" s="395"/>
      <c r="D715" s="395"/>
      <c r="E715" s="395"/>
      <c r="F715" s="395"/>
      <c r="H715" s="395"/>
      <c r="I715" s="395"/>
      <c r="J715" s="395"/>
      <c r="K715" s="395"/>
      <c r="L715" s="395"/>
      <c r="N715" s="395"/>
      <c r="O715" s="395"/>
      <c r="P715" s="395"/>
      <c r="Q715" s="395"/>
      <c r="R715" s="395"/>
    </row>
    <row r="716" spans="2:18" x14ac:dyDescent="0.25">
      <c r="B716" s="413"/>
      <c r="C716" s="395"/>
      <c r="D716" s="395"/>
      <c r="E716" s="395"/>
      <c r="F716" s="395"/>
      <c r="H716" s="395"/>
      <c r="I716" s="395"/>
      <c r="J716" s="395"/>
      <c r="K716" s="395"/>
      <c r="L716" s="395"/>
      <c r="N716" s="395"/>
      <c r="O716" s="395"/>
      <c r="P716" s="395"/>
      <c r="Q716" s="395"/>
      <c r="R716" s="395"/>
    </row>
    <row r="717" spans="2:18" x14ac:dyDescent="0.25">
      <c r="B717" s="413"/>
      <c r="C717" s="395"/>
      <c r="D717" s="395"/>
      <c r="E717" s="395"/>
      <c r="F717" s="395"/>
      <c r="H717" s="395"/>
      <c r="I717" s="395"/>
      <c r="J717" s="395"/>
      <c r="K717" s="395"/>
      <c r="L717" s="395"/>
      <c r="N717" s="395"/>
      <c r="O717" s="395"/>
      <c r="P717" s="395"/>
      <c r="Q717" s="395"/>
      <c r="R717" s="395"/>
    </row>
    <row r="718" spans="2:18" x14ac:dyDescent="0.25">
      <c r="B718" s="413"/>
      <c r="C718" s="395"/>
      <c r="D718" s="395"/>
      <c r="E718" s="395"/>
      <c r="F718" s="395"/>
      <c r="H718" s="395"/>
      <c r="I718" s="395"/>
      <c r="J718" s="395"/>
      <c r="K718" s="395"/>
      <c r="L718" s="395"/>
      <c r="N718" s="395"/>
      <c r="O718" s="395"/>
      <c r="P718" s="395"/>
      <c r="Q718" s="395"/>
      <c r="R718" s="395"/>
    </row>
    <row r="719" spans="2:18" x14ac:dyDescent="0.25">
      <c r="B719" s="413"/>
      <c r="C719" s="395"/>
      <c r="D719" s="395"/>
      <c r="E719" s="395"/>
      <c r="F719" s="395"/>
      <c r="H719" s="395"/>
      <c r="I719" s="395"/>
      <c r="J719" s="395"/>
      <c r="K719" s="395"/>
      <c r="L719" s="395"/>
      <c r="N719" s="395"/>
      <c r="O719" s="395"/>
      <c r="P719" s="395"/>
      <c r="Q719" s="395"/>
      <c r="R719" s="395"/>
    </row>
    <row r="720" spans="2:18" x14ac:dyDescent="0.25">
      <c r="B720" s="413"/>
      <c r="C720" s="395"/>
      <c r="D720" s="395"/>
      <c r="E720" s="395"/>
      <c r="F720" s="395"/>
      <c r="H720" s="395"/>
      <c r="I720" s="395"/>
      <c r="J720" s="395"/>
      <c r="K720" s="395"/>
      <c r="L720" s="395"/>
      <c r="N720" s="395"/>
      <c r="O720" s="395"/>
      <c r="P720" s="395"/>
      <c r="Q720" s="395"/>
      <c r="R720" s="395"/>
    </row>
    <row r="721" spans="2:18" x14ac:dyDescent="0.25">
      <c r="B721" s="413"/>
      <c r="C721" s="395"/>
      <c r="D721" s="395"/>
      <c r="E721" s="395"/>
      <c r="F721" s="395"/>
      <c r="H721" s="395"/>
      <c r="I721" s="395"/>
      <c r="J721" s="395"/>
      <c r="K721" s="395"/>
      <c r="L721" s="395"/>
      <c r="N721" s="395"/>
      <c r="O721" s="395"/>
      <c r="P721" s="395"/>
      <c r="Q721" s="395"/>
      <c r="R721" s="395"/>
    </row>
    <row r="722" spans="2:18" x14ac:dyDescent="0.25">
      <c r="B722" s="413"/>
      <c r="C722" s="395"/>
      <c r="D722" s="395"/>
      <c r="E722" s="395"/>
      <c r="F722" s="395"/>
      <c r="H722" s="395"/>
      <c r="I722" s="395"/>
      <c r="J722" s="395"/>
      <c r="K722" s="395"/>
      <c r="L722" s="395"/>
      <c r="N722" s="395"/>
      <c r="O722" s="395"/>
      <c r="P722" s="395"/>
      <c r="Q722" s="395"/>
      <c r="R722" s="395"/>
    </row>
    <row r="723" spans="2:18" x14ac:dyDescent="0.25">
      <c r="B723" s="413"/>
      <c r="C723" s="395"/>
      <c r="D723" s="395"/>
      <c r="E723" s="395"/>
      <c r="F723" s="395"/>
      <c r="H723" s="395"/>
      <c r="I723" s="395"/>
      <c r="J723" s="395"/>
      <c r="K723" s="395"/>
      <c r="L723" s="395"/>
      <c r="N723" s="395"/>
      <c r="O723" s="395"/>
      <c r="P723" s="395"/>
      <c r="Q723" s="395"/>
      <c r="R723" s="395"/>
    </row>
    <row r="724" spans="2:18" x14ac:dyDescent="0.25">
      <c r="B724" s="413"/>
      <c r="C724" s="395"/>
      <c r="D724" s="395"/>
      <c r="E724" s="395"/>
      <c r="F724" s="395"/>
      <c r="H724" s="395"/>
      <c r="I724" s="395"/>
      <c r="J724" s="395"/>
      <c r="K724" s="395"/>
      <c r="L724" s="395"/>
      <c r="N724" s="395"/>
      <c r="O724" s="395"/>
      <c r="P724" s="395"/>
      <c r="Q724" s="395"/>
      <c r="R724" s="395"/>
    </row>
    <row r="725" spans="2:18" x14ac:dyDescent="0.25">
      <c r="B725" s="413"/>
      <c r="C725" s="395"/>
      <c r="D725" s="395"/>
      <c r="E725" s="395"/>
      <c r="F725" s="395"/>
      <c r="H725" s="395"/>
      <c r="I725" s="395"/>
      <c r="J725" s="395"/>
      <c r="K725" s="395"/>
      <c r="L725" s="395"/>
      <c r="N725" s="395"/>
      <c r="O725" s="395"/>
      <c r="P725" s="395"/>
      <c r="Q725" s="395"/>
      <c r="R725" s="395"/>
    </row>
    <row r="726" spans="2:18" x14ac:dyDescent="0.25">
      <c r="B726" s="413"/>
      <c r="C726" s="395"/>
      <c r="D726" s="395"/>
      <c r="E726" s="395"/>
      <c r="F726" s="395"/>
      <c r="H726" s="395"/>
      <c r="I726" s="395"/>
      <c r="J726" s="395"/>
      <c r="K726" s="395"/>
      <c r="L726" s="395"/>
      <c r="N726" s="395"/>
      <c r="O726" s="395"/>
      <c r="P726" s="395"/>
      <c r="Q726" s="395"/>
      <c r="R726" s="395"/>
    </row>
    <row r="727" spans="2:18" x14ac:dyDescent="0.25">
      <c r="B727" s="413"/>
      <c r="C727" s="395"/>
      <c r="D727" s="395"/>
      <c r="E727" s="395"/>
      <c r="F727" s="395"/>
      <c r="H727" s="395"/>
      <c r="I727" s="395"/>
      <c r="J727" s="395"/>
      <c r="K727" s="395"/>
      <c r="L727" s="395"/>
      <c r="N727" s="395"/>
      <c r="O727" s="395"/>
      <c r="P727" s="395"/>
      <c r="Q727" s="395"/>
      <c r="R727" s="395"/>
    </row>
    <row r="728" spans="2:18" x14ac:dyDescent="0.25">
      <c r="B728" s="413"/>
      <c r="C728" s="395"/>
      <c r="D728" s="395"/>
      <c r="E728" s="395"/>
      <c r="F728" s="395"/>
      <c r="H728" s="395"/>
      <c r="I728" s="395"/>
      <c r="J728" s="395"/>
      <c r="K728" s="395"/>
      <c r="L728" s="395"/>
      <c r="N728" s="395"/>
      <c r="O728" s="395"/>
      <c r="P728" s="395"/>
      <c r="Q728" s="395"/>
      <c r="R728" s="395"/>
    </row>
    <row r="729" spans="2:18" x14ac:dyDescent="0.25">
      <c r="B729" s="413"/>
      <c r="C729" s="395"/>
      <c r="D729" s="395"/>
      <c r="E729" s="395"/>
      <c r="F729" s="395"/>
      <c r="H729" s="395"/>
      <c r="I729" s="395"/>
      <c r="J729" s="395"/>
      <c r="K729" s="395"/>
      <c r="L729" s="395"/>
      <c r="N729" s="395"/>
      <c r="O729" s="395"/>
      <c r="P729" s="395"/>
      <c r="Q729" s="395"/>
      <c r="R729" s="395"/>
    </row>
    <row r="730" spans="2:18" x14ac:dyDescent="0.25">
      <c r="B730" s="413"/>
      <c r="C730" s="395"/>
      <c r="D730" s="395"/>
      <c r="E730" s="395"/>
      <c r="F730" s="395"/>
      <c r="H730" s="395"/>
      <c r="I730" s="395"/>
      <c r="J730" s="395"/>
      <c r="K730" s="395"/>
      <c r="L730" s="395"/>
      <c r="N730" s="395"/>
      <c r="O730" s="395"/>
      <c r="P730" s="395"/>
      <c r="Q730" s="395"/>
      <c r="R730" s="395"/>
    </row>
    <row r="731" spans="2:18" x14ac:dyDescent="0.25">
      <c r="B731" s="413"/>
      <c r="C731" s="395"/>
      <c r="D731" s="395"/>
      <c r="E731" s="395"/>
      <c r="F731" s="395"/>
      <c r="H731" s="395"/>
      <c r="I731" s="395"/>
      <c r="J731" s="395"/>
      <c r="K731" s="395"/>
      <c r="L731" s="395"/>
      <c r="N731" s="395"/>
      <c r="O731" s="395"/>
      <c r="P731" s="395"/>
      <c r="Q731" s="395"/>
      <c r="R731" s="395"/>
    </row>
    <row r="732" spans="2:18" x14ac:dyDescent="0.25">
      <c r="B732" s="413"/>
      <c r="C732" s="395"/>
      <c r="D732" s="395"/>
      <c r="E732" s="395"/>
      <c r="F732" s="395"/>
      <c r="H732" s="395"/>
      <c r="I732" s="395"/>
      <c r="J732" s="395"/>
      <c r="K732" s="395"/>
      <c r="L732" s="395"/>
      <c r="N732" s="395"/>
      <c r="O732" s="395"/>
      <c r="P732" s="395"/>
      <c r="Q732" s="395"/>
      <c r="R732" s="395"/>
    </row>
    <row r="733" spans="2:18" x14ac:dyDescent="0.25">
      <c r="B733" s="413"/>
      <c r="C733" s="395"/>
      <c r="D733" s="395"/>
      <c r="E733" s="395"/>
      <c r="F733" s="395"/>
      <c r="H733" s="395"/>
      <c r="I733" s="395"/>
      <c r="J733" s="395"/>
      <c r="K733" s="395"/>
      <c r="L733" s="395"/>
      <c r="N733" s="395"/>
      <c r="O733" s="395"/>
      <c r="P733" s="395"/>
      <c r="Q733" s="395"/>
      <c r="R733" s="395"/>
    </row>
    <row r="734" spans="2:18" x14ac:dyDescent="0.25">
      <c r="B734" s="413"/>
      <c r="C734" s="395"/>
      <c r="D734" s="395"/>
      <c r="E734" s="395"/>
      <c r="F734" s="395"/>
      <c r="H734" s="395"/>
      <c r="I734" s="395"/>
      <c r="J734" s="395"/>
      <c r="K734" s="395"/>
      <c r="L734" s="395"/>
      <c r="N734" s="395"/>
      <c r="O734" s="395"/>
      <c r="P734" s="395"/>
      <c r="Q734" s="395"/>
      <c r="R734" s="395"/>
    </row>
    <row r="735" spans="2:18" x14ac:dyDescent="0.25">
      <c r="B735" s="413"/>
      <c r="C735" s="395"/>
      <c r="D735" s="395"/>
      <c r="E735" s="395"/>
      <c r="F735" s="395"/>
      <c r="H735" s="395"/>
      <c r="I735" s="395"/>
      <c r="J735" s="395"/>
      <c r="K735" s="395"/>
      <c r="L735" s="395"/>
      <c r="N735" s="395"/>
      <c r="O735" s="395"/>
      <c r="P735" s="395"/>
      <c r="Q735" s="395"/>
      <c r="R735" s="395"/>
    </row>
    <row r="736" spans="2:18" x14ac:dyDescent="0.25">
      <c r="B736" s="413"/>
      <c r="C736" s="395"/>
      <c r="D736" s="395"/>
      <c r="E736" s="395"/>
      <c r="F736" s="395"/>
      <c r="H736" s="395"/>
      <c r="I736" s="395"/>
      <c r="J736" s="395"/>
      <c r="K736" s="395"/>
      <c r="L736" s="395"/>
      <c r="N736" s="395"/>
      <c r="O736" s="395"/>
      <c r="P736" s="395"/>
      <c r="Q736" s="395"/>
      <c r="R736" s="395"/>
    </row>
    <row r="737" spans="2:18" x14ac:dyDescent="0.25">
      <c r="B737" s="413"/>
      <c r="C737" s="395"/>
      <c r="D737" s="395"/>
      <c r="E737" s="395"/>
      <c r="F737" s="395"/>
      <c r="H737" s="395"/>
      <c r="I737" s="395"/>
      <c r="J737" s="395"/>
      <c r="K737" s="395"/>
      <c r="L737" s="395"/>
      <c r="N737" s="395"/>
      <c r="O737" s="395"/>
      <c r="P737" s="395"/>
      <c r="Q737" s="395"/>
      <c r="R737" s="395"/>
    </row>
    <row r="738" spans="2:18" x14ac:dyDescent="0.25">
      <c r="B738" s="413"/>
      <c r="C738" s="395"/>
      <c r="D738" s="395"/>
      <c r="E738" s="395"/>
      <c r="F738" s="395"/>
      <c r="H738" s="395"/>
      <c r="I738" s="395"/>
      <c r="J738" s="395"/>
      <c r="K738" s="395"/>
      <c r="L738" s="395"/>
      <c r="N738" s="395"/>
      <c r="O738" s="395"/>
      <c r="P738" s="395"/>
      <c r="Q738" s="395"/>
      <c r="R738" s="395"/>
    </row>
    <row r="739" spans="2:18" x14ac:dyDescent="0.25">
      <c r="B739" s="413"/>
      <c r="C739" s="395"/>
      <c r="D739" s="395"/>
      <c r="E739" s="395"/>
      <c r="F739" s="395"/>
      <c r="H739" s="395"/>
      <c r="I739" s="395"/>
      <c r="J739" s="395"/>
      <c r="K739" s="395"/>
      <c r="L739" s="395"/>
      <c r="N739" s="395"/>
      <c r="O739" s="395"/>
      <c r="P739" s="395"/>
      <c r="Q739" s="395"/>
      <c r="R739" s="395"/>
    </row>
    <row r="740" spans="2:18" x14ac:dyDescent="0.25">
      <c r="B740" s="413"/>
      <c r="C740" s="395"/>
      <c r="D740" s="395"/>
      <c r="E740" s="395"/>
      <c r="F740" s="395"/>
      <c r="H740" s="395"/>
      <c r="I740" s="395"/>
      <c r="J740" s="395"/>
      <c r="K740" s="395"/>
      <c r="L740" s="395"/>
      <c r="N740" s="395"/>
      <c r="O740" s="395"/>
      <c r="P740" s="395"/>
      <c r="Q740" s="395"/>
      <c r="R740" s="395"/>
    </row>
    <row r="741" spans="2:18" x14ac:dyDescent="0.25">
      <c r="B741" s="413"/>
      <c r="C741" s="395"/>
      <c r="D741" s="395"/>
      <c r="E741" s="395"/>
      <c r="F741" s="395"/>
      <c r="H741" s="395"/>
      <c r="I741" s="395"/>
      <c r="J741" s="395"/>
      <c r="K741" s="395"/>
      <c r="L741" s="395"/>
      <c r="N741" s="395"/>
      <c r="O741" s="395"/>
      <c r="P741" s="395"/>
      <c r="Q741" s="395"/>
      <c r="R741" s="395"/>
    </row>
    <row r="742" spans="2:18" x14ac:dyDescent="0.25">
      <c r="B742" s="413"/>
      <c r="C742" s="395"/>
      <c r="D742" s="395"/>
      <c r="E742" s="395"/>
      <c r="F742" s="395"/>
      <c r="H742" s="395"/>
      <c r="I742" s="395"/>
      <c r="J742" s="395"/>
      <c r="K742" s="395"/>
      <c r="L742" s="395"/>
      <c r="N742" s="395"/>
      <c r="O742" s="395"/>
      <c r="P742" s="395"/>
      <c r="Q742" s="395"/>
      <c r="R742" s="395"/>
    </row>
    <row r="743" spans="2:18" x14ac:dyDescent="0.25">
      <c r="B743" s="413"/>
      <c r="C743" s="395"/>
      <c r="D743" s="395"/>
      <c r="E743" s="395"/>
      <c r="F743" s="395"/>
      <c r="H743" s="395"/>
      <c r="I743" s="395"/>
      <c r="J743" s="395"/>
      <c r="K743" s="395"/>
      <c r="L743" s="395"/>
      <c r="N743" s="395"/>
      <c r="O743" s="395"/>
      <c r="P743" s="395"/>
      <c r="Q743" s="395"/>
      <c r="R743" s="395"/>
    </row>
    <row r="744" spans="2:18" x14ac:dyDescent="0.25">
      <c r="B744" s="413"/>
      <c r="C744" s="395"/>
      <c r="D744" s="395"/>
      <c r="E744" s="395"/>
      <c r="F744" s="395"/>
      <c r="H744" s="395"/>
      <c r="I744" s="395"/>
      <c r="J744" s="395"/>
      <c r="K744" s="395"/>
      <c r="L744" s="395"/>
      <c r="N744" s="395"/>
      <c r="O744" s="395"/>
      <c r="P744" s="395"/>
      <c r="Q744" s="395"/>
      <c r="R744" s="395"/>
    </row>
    <row r="745" spans="2:18" x14ac:dyDescent="0.25">
      <c r="B745" s="413"/>
      <c r="C745" s="395"/>
      <c r="D745" s="395"/>
      <c r="E745" s="395"/>
      <c r="F745" s="395"/>
      <c r="H745" s="395"/>
      <c r="I745" s="395"/>
      <c r="J745" s="395"/>
      <c r="K745" s="395"/>
      <c r="L745" s="395"/>
      <c r="N745" s="395"/>
      <c r="O745" s="395"/>
      <c r="P745" s="395"/>
      <c r="Q745" s="395"/>
      <c r="R745" s="395"/>
    </row>
    <row r="746" spans="2:18" x14ac:dyDescent="0.25">
      <c r="B746" s="413"/>
      <c r="C746" s="395"/>
      <c r="D746" s="395"/>
      <c r="E746" s="395"/>
      <c r="F746" s="395"/>
      <c r="H746" s="395"/>
      <c r="I746" s="395"/>
      <c r="J746" s="395"/>
      <c r="K746" s="395"/>
      <c r="L746" s="395"/>
      <c r="N746" s="395"/>
      <c r="O746" s="395"/>
      <c r="P746" s="395"/>
      <c r="Q746" s="395"/>
      <c r="R746" s="395"/>
    </row>
    <row r="747" spans="2:18" x14ac:dyDescent="0.25">
      <c r="B747" s="413"/>
      <c r="C747" s="395"/>
      <c r="D747" s="395"/>
      <c r="E747" s="395"/>
      <c r="F747" s="395"/>
      <c r="H747" s="395"/>
      <c r="I747" s="395"/>
      <c r="J747" s="395"/>
      <c r="K747" s="395"/>
      <c r="L747" s="395"/>
      <c r="N747" s="395"/>
      <c r="O747" s="395"/>
      <c r="P747" s="395"/>
      <c r="Q747" s="395"/>
      <c r="R747" s="395"/>
    </row>
    <row r="748" spans="2:18" x14ac:dyDescent="0.25">
      <c r="B748" s="413"/>
      <c r="C748" s="395"/>
      <c r="D748" s="395"/>
      <c r="E748" s="395"/>
      <c r="F748" s="395"/>
      <c r="H748" s="395"/>
      <c r="I748" s="395"/>
      <c r="J748" s="395"/>
      <c r="K748" s="395"/>
      <c r="L748" s="395"/>
      <c r="N748" s="395"/>
      <c r="O748" s="395"/>
      <c r="P748" s="395"/>
      <c r="Q748" s="395"/>
      <c r="R748" s="395"/>
    </row>
    <row r="749" spans="2:18" x14ac:dyDescent="0.25">
      <c r="B749" s="413"/>
      <c r="C749" s="395"/>
      <c r="D749" s="395"/>
      <c r="E749" s="395"/>
      <c r="F749" s="395"/>
      <c r="H749" s="395"/>
      <c r="I749" s="395"/>
      <c r="J749" s="395"/>
      <c r="K749" s="395"/>
      <c r="L749" s="395"/>
      <c r="N749" s="395"/>
      <c r="O749" s="395"/>
      <c r="P749" s="395"/>
      <c r="Q749" s="395"/>
      <c r="R749" s="395"/>
    </row>
    <row r="750" spans="2:18" x14ac:dyDescent="0.25">
      <c r="B750" s="413"/>
      <c r="C750" s="395"/>
      <c r="D750" s="395"/>
      <c r="E750" s="395"/>
      <c r="F750" s="395"/>
      <c r="H750" s="395"/>
      <c r="I750" s="395"/>
      <c r="J750" s="395"/>
      <c r="K750" s="395"/>
      <c r="L750" s="395"/>
      <c r="N750" s="395"/>
      <c r="O750" s="395"/>
      <c r="P750" s="395"/>
      <c r="Q750" s="395"/>
      <c r="R750" s="395"/>
    </row>
    <row r="751" spans="2:18" x14ac:dyDescent="0.25">
      <c r="B751" s="413"/>
      <c r="C751" s="395"/>
      <c r="D751" s="395"/>
      <c r="E751" s="395"/>
      <c r="F751" s="395"/>
      <c r="H751" s="395"/>
      <c r="I751" s="395"/>
      <c r="J751" s="395"/>
      <c r="K751" s="395"/>
      <c r="L751" s="395"/>
      <c r="N751" s="395"/>
      <c r="O751" s="395"/>
      <c r="P751" s="395"/>
      <c r="Q751" s="395"/>
      <c r="R751" s="395"/>
    </row>
    <row r="752" spans="2:18" x14ac:dyDescent="0.25">
      <c r="B752" s="413"/>
      <c r="C752" s="395"/>
      <c r="D752" s="395"/>
      <c r="E752" s="395"/>
      <c r="F752" s="395"/>
      <c r="H752" s="395"/>
      <c r="I752" s="395"/>
      <c r="J752" s="395"/>
      <c r="K752" s="395"/>
      <c r="L752" s="395"/>
      <c r="N752" s="395"/>
      <c r="O752" s="395"/>
      <c r="P752" s="395"/>
      <c r="Q752" s="395"/>
      <c r="R752" s="395"/>
    </row>
    <row r="753" spans="2:18" x14ac:dyDescent="0.25">
      <c r="B753" s="413"/>
      <c r="C753" s="395"/>
      <c r="D753" s="395"/>
      <c r="E753" s="395"/>
      <c r="F753" s="395"/>
      <c r="H753" s="395"/>
      <c r="I753" s="395"/>
      <c r="J753" s="395"/>
      <c r="K753" s="395"/>
      <c r="L753" s="395"/>
      <c r="N753" s="395"/>
      <c r="O753" s="395"/>
      <c r="P753" s="395"/>
      <c r="Q753" s="395"/>
      <c r="R753" s="395"/>
    </row>
    <row r="754" spans="2:18" x14ac:dyDescent="0.25">
      <c r="B754" s="413"/>
      <c r="C754" s="395"/>
      <c r="D754" s="395"/>
      <c r="E754" s="395"/>
      <c r="F754" s="395"/>
      <c r="H754" s="395"/>
      <c r="I754" s="395"/>
      <c r="J754" s="395"/>
      <c r="K754" s="395"/>
      <c r="L754" s="395"/>
      <c r="N754" s="395"/>
      <c r="O754" s="395"/>
      <c r="P754" s="395"/>
      <c r="Q754" s="395"/>
      <c r="R754" s="395"/>
    </row>
    <row r="755" spans="2:18" x14ac:dyDescent="0.25">
      <c r="B755" s="413"/>
      <c r="C755" s="395"/>
      <c r="D755" s="395"/>
      <c r="E755" s="395"/>
      <c r="F755" s="395"/>
      <c r="H755" s="395"/>
      <c r="I755" s="395"/>
      <c r="J755" s="395"/>
      <c r="K755" s="395"/>
      <c r="L755" s="395"/>
      <c r="N755" s="395"/>
      <c r="O755" s="395"/>
      <c r="P755" s="395"/>
      <c r="Q755" s="395"/>
      <c r="R755" s="395"/>
    </row>
    <row r="756" spans="2:18" x14ac:dyDescent="0.25">
      <c r="B756" s="413"/>
      <c r="C756" s="395"/>
      <c r="D756" s="395"/>
      <c r="E756" s="395"/>
      <c r="F756" s="395"/>
      <c r="H756" s="395"/>
      <c r="I756" s="395"/>
      <c r="J756" s="395"/>
      <c r="K756" s="395"/>
      <c r="L756" s="395"/>
      <c r="N756" s="395"/>
      <c r="O756" s="395"/>
      <c r="P756" s="395"/>
      <c r="Q756" s="395"/>
      <c r="R756" s="395"/>
    </row>
    <row r="757" spans="2:18" x14ac:dyDescent="0.25">
      <c r="B757" s="413"/>
      <c r="C757" s="395"/>
      <c r="D757" s="395"/>
      <c r="E757" s="395"/>
      <c r="F757" s="395"/>
      <c r="H757" s="395"/>
      <c r="I757" s="395"/>
      <c r="J757" s="395"/>
      <c r="K757" s="395"/>
      <c r="L757" s="395"/>
      <c r="N757" s="395"/>
      <c r="O757" s="395"/>
      <c r="P757" s="395"/>
      <c r="Q757" s="395"/>
      <c r="R757" s="395"/>
    </row>
    <row r="758" spans="2:18" x14ac:dyDescent="0.25">
      <c r="B758" s="413"/>
      <c r="C758" s="395"/>
      <c r="D758" s="395"/>
      <c r="E758" s="395"/>
      <c r="F758" s="395"/>
      <c r="H758" s="395"/>
      <c r="I758" s="395"/>
      <c r="J758" s="395"/>
      <c r="K758" s="395"/>
      <c r="L758" s="395"/>
      <c r="N758" s="395"/>
      <c r="O758" s="395"/>
      <c r="P758" s="395"/>
      <c r="Q758" s="395"/>
      <c r="R758" s="395"/>
    </row>
    <row r="759" spans="2:18" x14ac:dyDescent="0.25">
      <c r="B759" s="413"/>
      <c r="C759" s="395"/>
      <c r="D759" s="395"/>
      <c r="E759" s="395"/>
      <c r="F759" s="395"/>
      <c r="H759" s="395"/>
      <c r="I759" s="395"/>
      <c r="J759" s="395"/>
      <c r="K759" s="395"/>
      <c r="L759" s="395"/>
      <c r="N759" s="395"/>
      <c r="O759" s="395"/>
      <c r="P759" s="395"/>
      <c r="Q759" s="395"/>
      <c r="R759" s="395"/>
    </row>
    <row r="760" spans="2:18" x14ac:dyDescent="0.25">
      <c r="B760" s="413"/>
      <c r="C760" s="395"/>
      <c r="D760" s="395"/>
      <c r="E760" s="395"/>
      <c r="F760" s="395"/>
      <c r="H760" s="395"/>
      <c r="I760" s="395"/>
      <c r="J760" s="395"/>
      <c r="K760" s="395"/>
      <c r="L760" s="395"/>
      <c r="N760" s="395"/>
      <c r="O760" s="395"/>
      <c r="P760" s="395"/>
      <c r="Q760" s="395"/>
      <c r="R760" s="395"/>
    </row>
    <row r="761" spans="2:18" x14ac:dyDescent="0.25">
      <c r="B761" s="413"/>
      <c r="C761" s="395"/>
      <c r="D761" s="395"/>
      <c r="E761" s="395"/>
      <c r="F761" s="395"/>
      <c r="H761" s="395"/>
      <c r="I761" s="395"/>
      <c r="J761" s="395"/>
      <c r="K761" s="395"/>
      <c r="L761" s="395"/>
      <c r="N761" s="395"/>
      <c r="O761" s="395"/>
      <c r="P761" s="395"/>
      <c r="Q761" s="395"/>
      <c r="R761" s="395"/>
    </row>
    <row r="762" spans="2:18" x14ac:dyDescent="0.25">
      <c r="B762" s="413"/>
      <c r="C762" s="395"/>
      <c r="D762" s="395"/>
      <c r="E762" s="395"/>
      <c r="F762" s="395"/>
      <c r="H762" s="395"/>
      <c r="I762" s="395"/>
      <c r="J762" s="395"/>
      <c r="K762" s="395"/>
      <c r="L762" s="395"/>
      <c r="N762" s="395"/>
      <c r="O762" s="395"/>
      <c r="P762" s="395"/>
      <c r="Q762" s="395"/>
      <c r="R762" s="395"/>
    </row>
    <row r="763" spans="2:18" x14ac:dyDescent="0.25">
      <c r="B763" s="413"/>
      <c r="C763" s="395"/>
      <c r="D763" s="395"/>
      <c r="E763" s="395"/>
      <c r="F763" s="395"/>
      <c r="H763" s="395"/>
      <c r="I763" s="395"/>
      <c r="J763" s="395"/>
      <c r="K763" s="395"/>
      <c r="L763" s="395"/>
      <c r="N763" s="395"/>
      <c r="O763" s="395"/>
      <c r="P763" s="395"/>
      <c r="Q763" s="395"/>
      <c r="R763" s="395"/>
    </row>
    <row r="764" spans="2:18" x14ac:dyDescent="0.25">
      <c r="B764" s="413"/>
      <c r="C764" s="395"/>
      <c r="D764" s="395"/>
      <c r="E764" s="395"/>
      <c r="F764" s="395"/>
      <c r="H764" s="395"/>
      <c r="I764" s="395"/>
      <c r="J764" s="395"/>
      <c r="K764" s="395"/>
      <c r="L764" s="395"/>
      <c r="N764" s="395"/>
      <c r="O764" s="395"/>
      <c r="P764" s="395"/>
      <c r="Q764" s="395"/>
      <c r="R764" s="395"/>
    </row>
    <row r="765" spans="2:18" x14ac:dyDescent="0.25">
      <c r="B765" s="413"/>
      <c r="C765" s="395"/>
      <c r="D765" s="395"/>
      <c r="E765" s="395"/>
      <c r="F765" s="395"/>
      <c r="H765" s="395"/>
      <c r="I765" s="395"/>
      <c r="J765" s="395"/>
      <c r="K765" s="395"/>
      <c r="L765" s="395"/>
      <c r="N765" s="395"/>
      <c r="O765" s="395"/>
      <c r="P765" s="395"/>
      <c r="Q765" s="395"/>
      <c r="R765" s="395"/>
    </row>
    <row r="766" spans="2:18" x14ac:dyDescent="0.25">
      <c r="B766" s="413"/>
      <c r="C766" s="395"/>
      <c r="D766" s="395"/>
      <c r="E766" s="395"/>
      <c r="F766" s="395"/>
      <c r="H766" s="395"/>
      <c r="I766" s="395"/>
      <c r="J766" s="395"/>
      <c r="K766" s="395"/>
      <c r="L766" s="395"/>
      <c r="N766" s="395"/>
      <c r="O766" s="395"/>
      <c r="P766" s="395"/>
      <c r="Q766" s="395"/>
      <c r="R766" s="395"/>
    </row>
    <row r="767" spans="2:18" x14ac:dyDescent="0.25">
      <c r="B767" s="413"/>
      <c r="C767" s="395"/>
      <c r="D767" s="395"/>
      <c r="E767" s="395"/>
      <c r="F767" s="395"/>
      <c r="H767" s="395"/>
      <c r="I767" s="395"/>
      <c r="J767" s="395"/>
      <c r="K767" s="395"/>
      <c r="L767" s="395"/>
      <c r="N767" s="395"/>
      <c r="O767" s="395"/>
      <c r="P767" s="395"/>
      <c r="Q767" s="395"/>
      <c r="R767" s="395"/>
    </row>
    <row r="768" spans="2:18" x14ac:dyDescent="0.25">
      <c r="B768" s="413"/>
      <c r="C768" s="395"/>
      <c r="D768" s="395"/>
      <c r="E768" s="395"/>
      <c r="F768" s="395"/>
      <c r="H768" s="395"/>
      <c r="I768" s="395"/>
      <c r="J768" s="395"/>
      <c r="K768" s="395"/>
      <c r="L768" s="395"/>
      <c r="N768" s="395"/>
      <c r="O768" s="395"/>
      <c r="P768" s="395"/>
      <c r="Q768" s="395"/>
      <c r="R768" s="395"/>
    </row>
    <row r="769" spans="2:18" x14ac:dyDescent="0.25">
      <c r="B769" s="413"/>
      <c r="C769" s="395"/>
      <c r="D769" s="395"/>
      <c r="E769" s="395"/>
      <c r="F769" s="395"/>
      <c r="H769" s="395"/>
      <c r="I769" s="395"/>
      <c r="J769" s="395"/>
      <c r="K769" s="395"/>
      <c r="L769" s="395"/>
      <c r="N769" s="395"/>
      <c r="O769" s="395"/>
      <c r="P769" s="395"/>
      <c r="Q769" s="395"/>
      <c r="R769" s="395"/>
    </row>
    <row r="770" spans="2:18" x14ac:dyDescent="0.25">
      <c r="B770" s="413"/>
      <c r="C770" s="395"/>
      <c r="D770" s="395"/>
      <c r="E770" s="395"/>
      <c r="F770" s="395"/>
      <c r="H770" s="395"/>
      <c r="I770" s="395"/>
      <c r="J770" s="395"/>
      <c r="K770" s="395"/>
      <c r="L770" s="395"/>
      <c r="N770" s="395"/>
      <c r="O770" s="395"/>
      <c r="P770" s="395"/>
      <c r="Q770" s="395"/>
      <c r="R770" s="395"/>
    </row>
    <row r="771" spans="2:18" x14ac:dyDescent="0.25">
      <c r="B771" s="413"/>
      <c r="C771" s="395"/>
      <c r="D771" s="395"/>
      <c r="E771" s="395"/>
      <c r="F771" s="395"/>
      <c r="H771" s="395"/>
      <c r="I771" s="395"/>
      <c r="J771" s="395"/>
      <c r="K771" s="395"/>
      <c r="L771" s="395"/>
      <c r="N771" s="395"/>
      <c r="O771" s="395"/>
      <c r="P771" s="395"/>
      <c r="Q771" s="395"/>
      <c r="R771" s="395"/>
    </row>
    <row r="772" spans="2:18" x14ac:dyDescent="0.25">
      <c r="B772" s="413"/>
      <c r="C772" s="395"/>
      <c r="D772" s="395"/>
      <c r="E772" s="395"/>
      <c r="F772" s="395"/>
      <c r="H772" s="395"/>
      <c r="I772" s="395"/>
      <c r="J772" s="395"/>
      <c r="K772" s="395"/>
      <c r="L772" s="395"/>
      <c r="N772" s="395"/>
      <c r="O772" s="395"/>
      <c r="P772" s="395"/>
      <c r="Q772" s="395"/>
      <c r="R772" s="395"/>
    </row>
    <row r="773" spans="2:18" x14ac:dyDescent="0.25">
      <c r="B773" s="413"/>
      <c r="C773" s="395"/>
      <c r="D773" s="395"/>
      <c r="E773" s="395"/>
      <c r="F773" s="395"/>
      <c r="H773" s="395"/>
      <c r="I773" s="395"/>
      <c r="J773" s="395"/>
      <c r="K773" s="395"/>
      <c r="L773" s="395"/>
      <c r="N773" s="395"/>
      <c r="O773" s="395"/>
      <c r="P773" s="395"/>
      <c r="Q773" s="395"/>
      <c r="R773" s="395"/>
    </row>
    <row r="774" spans="2:18" x14ac:dyDescent="0.25">
      <c r="B774" s="413"/>
      <c r="C774" s="395"/>
      <c r="D774" s="395"/>
      <c r="E774" s="395"/>
      <c r="F774" s="395"/>
      <c r="H774" s="395"/>
      <c r="I774" s="395"/>
      <c r="J774" s="395"/>
      <c r="K774" s="395"/>
      <c r="L774" s="395"/>
      <c r="N774" s="395"/>
      <c r="O774" s="395"/>
      <c r="P774" s="395"/>
      <c r="Q774" s="395"/>
      <c r="R774" s="395"/>
    </row>
    <row r="775" spans="2:18" x14ac:dyDescent="0.25">
      <c r="B775" s="413"/>
      <c r="C775" s="395"/>
      <c r="D775" s="395"/>
      <c r="E775" s="395"/>
      <c r="F775" s="395"/>
      <c r="H775" s="395"/>
      <c r="I775" s="395"/>
      <c r="J775" s="395"/>
      <c r="K775" s="395"/>
      <c r="L775" s="395"/>
      <c r="N775" s="395"/>
      <c r="O775" s="395"/>
      <c r="P775" s="395"/>
      <c r="Q775" s="395"/>
      <c r="R775" s="395"/>
    </row>
    <row r="776" spans="2:18" x14ac:dyDescent="0.25">
      <c r="B776" s="413"/>
      <c r="C776" s="395"/>
      <c r="D776" s="395"/>
      <c r="E776" s="395"/>
      <c r="F776" s="395"/>
      <c r="H776" s="395"/>
      <c r="I776" s="395"/>
      <c r="J776" s="395"/>
      <c r="K776" s="395"/>
      <c r="L776" s="395"/>
      <c r="N776" s="395"/>
      <c r="O776" s="395"/>
      <c r="P776" s="395"/>
      <c r="Q776" s="395"/>
      <c r="R776" s="395"/>
    </row>
    <row r="777" spans="2:18" x14ac:dyDescent="0.25">
      <c r="B777" s="413"/>
      <c r="C777" s="395"/>
      <c r="D777" s="395"/>
      <c r="E777" s="395"/>
      <c r="F777" s="395"/>
      <c r="H777" s="395"/>
      <c r="I777" s="395"/>
      <c r="J777" s="395"/>
      <c r="K777" s="395"/>
      <c r="L777" s="395"/>
      <c r="N777" s="395"/>
      <c r="O777" s="395"/>
      <c r="P777" s="395"/>
      <c r="Q777" s="395"/>
      <c r="R777" s="395"/>
    </row>
    <row r="778" spans="2:18" x14ac:dyDescent="0.25">
      <c r="B778" s="413"/>
      <c r="C778" s="395"/>
      <c r="D778" s="395"/>
      <c r="E778" s="395"/>
      <c r="F778" s="395"/>
      <c r="H778" s="395"/>
      <c r="I778" s="395"/>
      <c r="J778" s="395"/>
      <c r="K778" s="395"/>
      <c r="L778" s="395"/>
      <c r="N778" s="395"/>
      <c r="O778" s="395"/>
      <c r="P778" s="395"/>
      <c r="Q778" s="395"/>
      <c r="R778" s="395"/>
    </row>
    <row r="779" spans="2:18" x14ac:dyDescent="0.25">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B7:J7"/>
    <mergeCell ref="B8:J8"/>
    <mergeCell ref="B9:J9"/>
    <mergeCell ref="B10:J10"/>
    <mergeCell ref="C12:D12"/>
    <mergeCell ref="I12:J12"/>
    <mergeCell ref="O12:P12"/>
    <mergeCell ref="I78:L78"/>
    <mergeCell ref="I71:L71"/>
    <mergeCell ref="I72:L72"/>
    <mergeCell ref="I73:L73"/>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4140625"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77734375" defaultRowHeight="13.8" x14ac:dyDescent="0.25"/>
  <cols>
    <col min="1" max="1" width="3.44140625" style="395" customWidth="1"/>
    <col min="2" max="2" width="56.44140625" style="395" customWidth="1"/>
    <col min="3" max="3" width="23.44140625" style="395" customWidth="1"/>
    <col min="4" max="5" width="20.21875" style="395" bestFit="1" customWidth="1"/>
    <col min="6" max="6" width="15.44140625" style="395" customWidth="1"/>
    <col min="7" max="7" width="24" style="395" bestFit="1" customWidth="1"/>
    <col min="8" max="8" width="19.21875" style="395" customWidth="1"/>
    <col min="9" max="10" width="18.21875" style="395" customWidth="1"/>
    <col min="11" max="16384" width="10.77734375" style="395"/>
  </cols>
  <sheetData>
    <row r="1" spans="2:9" s="469" customFormat="1" ht="10.5" customHeight="1" x14ac:dyDescent="0.25"/>
    <row r="2" spans="2:9" s="469" customFormat="1" ht="25.8" x14ac:dyDescent="0.25">
      <c r="B2" s="706" t="s">
        <v>182</v>
      </c>
      <c r="C2" s="697"/>
    </row>
    <row r="3" spans="2:9" s="469" customFormat="1" x14ac:dyDescent="0.25">
      <c r="B3" s="469" t="s">
        <v>2308</v>
      </c>
    </row>
    <row r="4" spans="2:9" s="469" customFormat="1" ht="10.5" customHeight="1" x14ac:dyDescent="0.25"/>
    <row r="5" spans="2:9" s="526" customFormat="1" x14ac:dyDescent="0.25"/>
    <row r="6" spans="2:9" s="526" customFormat="1" ht="17.399999999999999" x14ac:dyDescent="0.25">
      <c r="B6" s="740" t="s">
        <v>2</v>
      </c>
      <c r="C6" s="806"/>
      <c r="D6" s="806"/>
      <c r="E6" s="806"/>
      <c r="F6" s="806"/>
      <c r="G6" s="806"/>
      <c r="H6" s="806"/>
      <c r="I6" s="806"/>
    </row>
    <row r="7" spans="2:9" s="526" customFormat="1" ht="82.05" customHeight="1" x14ac:dyDescent="0.25">
      <c r="B7" s="2039" t="s">
        <v>3288</v>
      </c>
      <c r="C7" s="2039"/>
      <c r="D7" s="2039"/>
      <c r="E7" s="2039"/>
      <c r="F7" s="2039"/>
      <c r="G7" s="2039"/>
    </row>
    <row r="8" spans="2:9" s="526" customFormat="1" x14ac:dyDescent="0.25"/>
    <row r="9" spans="2:9" ht="17.399999999999999" x14ac:dyDescent="0.3">
      <c r="B9" s="830" t="s">
        <v>2294</v>
      </c>
      <c r="C9" s="475"/>
      <c r="D9" s="475"/>
      <c r="E9" s="475"/>
      <c r="F9" s="475"/>
      <c r="G9" s="475"/>
      <c r="H9" s="475"/>
      <c r="I9" s="475"/>
    </row>
    <row r="10" spans="2:9" ht="67.95" customHeight="1" x14ac:dyDescent="0.25">
      <c r="B10" s="1718" t="s">
        <v>3287</v>
      </c>
      <c r="C10" s="1718"/>
      <c r="D10" s="1718"/>
      <c r="E10" s="1718"/>
      <c r="F10" s="1718"/>
      <c r="G10" s="1718"/>
    </row>
    <row r="11" spans="2:9" x14ac:dyDescent="0.25">
      <c r="B11" s="720" t="s">
        <v>183</v>
      </c>
      <c r="C11" s="720" t="s">
        <v>184</v>
      </c>
      <c r="D11" s="720" t="s">
        <v>185</v>
      </c>
      <c r="E11" s="720" t="s">
        <v>186</v>
      </c>
      <c r="G11" s="556"/>
    </row>
    <row r="12" spans="2:9" x14ac:dyDescent="0.25">
      <c r="B12" s="1103" t="s">
        <v>187</v>
      </c>
      <c r="C12" s="1104">
        <f>'2. Roles &amp; Pricing'!AD28</f>
        <v>732400</v>
      </c>
      <c r="D12" s="1104">
        <f>'2. Roles &amp; Pricing'!AE28</f>
        <v>252400</v>
      </c>
      <c r="E12" s="1105">
        <f>'2. Roles &amp; Pricing'!AF28</f>
        <v>306400</v>
      </c>
    </row>
    <row r="13" spans="2:9" x14ac:dyDescent="0.25">
      <c r="B13" s="1106" t="s">
        <v>1675</v>
      </c>
      <c r="C13" s="1095">
        <f>'2. Roles &amp; Pricing'!AD29</f>
        <v>331440</v>
      </c>
      <c r="D13" s="1095">
        <f>'2. Roles &amp; Pricing'!AE29</f>
        <v>99840</v>
      </c>
      <c r="E13" s="1107">
        <f>'2. Roles &amp; Pricing'!AF29</f>
        <v>139440</v>
      </c>
    </row>
    <row r="14" spans="2:9" x14ac:dyDescent="0.25">
      <c r="B14" s="1108" t="s">
        <v>193</v>
      </c>
      <c r="C14" s="1096" t="s">
        <v>4</v>
      </c>
      <c r="D14" s="1097" t="s">
        <v>4</v>
      </c>
      <c r="E14" s="1109" t="s">
        <v>4</v>
      </c>
    </row>
    <row r="15" spans="2:9" x14ac:dyDescent="0.25">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25">
      <c r="B16" s="1113" t="s">
        <v>1676</v>
      </c>
      <c r="C16" s="1114">
        <f>IFERROR(IF(C14="Manual Entry",(C12+(C12*C15)),(C12+C14+(C12*C15))),"")</f>
        <v>769020</v>
      </c>
      <c r="D16" s="1114">
        <f>IFERROR(IF(D14="Manual Entry",(D12+(D12*D15)),(D12+D14+(D12*D15))),"")</f>
        <v>265020</v>
      </c>
      <c r="E16" s="1115">
        <f>IFERROR(IF(E14="Manual Entry",(E12+(E12*E15)),(E12+E14+(E12*E15))),"")</f>
        <v>321720</v>
      </c>
    </row>
    <row r="17" spans="2:8" x14ac:dyDescent="0.25">
      <c r="B17" s="584"/>
      <c r="C17" s="704"/>
      <c r="D17" s="705"/>
      <c r="E17" s="705"/>
    </row>
    <row r="18" spans="2:8" x14ac:dyDescent="0.25">
      <c r="B18" s="718" t="s">
        <v>188</v>
      </c>
      <c r="C18" s="720" t="s">
        <v>184</v>
      </c>
      <c r="D18" s="720" t="s">
        <v>185</v>
      </c>
      <c r="E18" s="720" t="s">
        <v>186</v>
      </c>
    </row>
    <row r="19" spans="2:8" x14ac:dyDescent="0.25">
      <c r="B19" s="931" t="s">
        <v>189</v>
      </c>
      <c r="C19" s="1116">
        <f>IFERROR((SUMIFS('2. Roles &amp; Pricing'!$D291:$D$390,'2. Roles &amp; Pricing'!AC$48:AC$147,"Yes")-SUMIFS('2. Roles &amp; Pricing'!$F$291:$F$390,'2. Roles &amp; Pricing'!AC$48:AC$147,"Yes"))/SUMIFS('2. Roles &amp; Pricing'!$D$291:$D$390,'2. Roles &amp; Pricing'!AC$48:AC$147,"Yes"),"")</f>
        <v>0.54746040415073727</v>
      </c>
      <c r="D19" s="1116">
        <f>IFERROR((SUMIFS('2. Roles &amp; Pricing'!$D291:$D$390,'2. Roles &amp; Pricing'!AE$48:AE$147,"Yes")-SUMIFS('2. Roles &amp; Pricing'!$F$291:$F$390,'2. Roles &amp; Pricing'!AE$48:AE$147,"Yes"))/SUMIFS('2. Roles &amp; Pricing'!$D$291:$D$390,'2. Roles &amp; Pricing'!AE$48:AE$147,"Yes"),"")</f>
        <v>0.60443740095087162</v>
      </c>
      <c r="E19" s="1117">
        <f>IFERROR((SUMIFS('2. Roles &amp; Pricing'!$D291:$D$390,'2. Roles &amp; Pricing'!AF$48:AF$147,"Yes")-SUMIFS('2. Roles &amp; Pricing'!$F$291:$F$390,'2. Roles &amp; Pricing'!AF$48:AF$147,"Yes"))/SUMIFS('2. Roles &amp; Pricing'!$D$291:$D$390,'2. Roles &amp; Pricing'!AF$48:AF$147,"Yes"),"")</f>
        <v>0.54490861618798958</v>
      </c>
    </row>
    <row r="20" spans="2:8" x14ac:dyDescent="0.25">
      <c r="B20" s="896" t="s">
        <v>190</v>
      </c>
      <c r="C20" s="1099">
        <f>IFERROR((SUMIFS('2. Roles &amp; Pricing'!$D$291:$D$390,'2. Roles &amp; Pricing'!$W48:$W147,"Offshore",'2. Roles &amp; Pricing'!AC$48:AC$147,"Yes"))/SUMIFS('2. Roles &amp; Pricing'!$M$291:$M$390,'2. Roles &amp; Pricing'!$W$48:$W$147,"Offshore",'2. Roles &amp; Pricing'!AC$48:AC$147,"Yes"),"")</f>
        <v>55</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55</v>
      </c>
    </row>
    <row r="21" spans="2:8" x14ac:dyDescent="0.25">
      <c r="B21" s="896" t="s">
        <v>191</v>
      </c>
      <c r="C21" s="1100">
        <f>IFERROR((SUMIFS('2. Roles &amp; Pricing'!$D$291:$D$390,'2. Roles &amp; Pricing'!$W49:$W148,"Onshore",'2. Roles &amp; Pricing'!AC$48:AC$147,"Yes"))/SUMIFS('2. Roles &amp; Pricing'!$M$291:$M$390,'2. Roles &amp; Pricing'!$W$48:$W$147,"Onshore",'2. Roles &amp; Pricing'!AC$48:AC$147,"Yes"),"")</f>
        <v>31.777777777777779</v>
      </c>
      <c r="D21" s="1099">
        <f>IFERROR((SUMIFS('2. Roles &amp; Pricing'!$D$291:$D$390,'2. Roles &amp; Pricing'!$W49:$W148,"Onshore",'2. Roles &amp; Pricing'!AE$48:AE$147,"Yes"))/SUMIFS('2. Roles &amp; Pricing'!$M$291:$M$390,'2. Roles &amp; Pricing'!$W$48:$W$147,"Onshore",'2. Roles &amp; Pricing'!AE$48:AE$147,"Yes"),"")</f>
        <v>40.333333333333336</v>
      </c>
      <c r="E21" s="1118">
        <f>IFERROR((SUMIFS('2. Roles &amp; Pricing'!$D$291:$D$390,'2. Roles &amp; Pricing'!$W49:$W148,"Onshore",'2. Roles &amp; Pricing'!AF$48:AF$147,"Yes"))/SUMIFS('2. Roles &amp; Pricing'!$M$291:$M$390,'2. Roles &amp; Pricing'!$W$48:$W$147,"Onshore",'2. Roles &amp; Pricing'!AF$48:AF$147,"Yes"),"")</f>
        <v>95.333333333333329</v>
      </c>
    </row>
    <row r="22" spans="2:8" x14ac:dyDescent="0.25">
      <c r="B22" s="896" t="s">
        <v>192</v>
      </c>
      <c r="C22" s="1098">
        <f>IFERROR((COUNTIFS('2. Roles &amp; Pricing'!$W$48:$W$147,"Offshore",'2. Roles &amp; Pricing'!AC$48:AC$147,"Yes")/SUM(COUNTIFS('2. Roles &amp; Pricing'!$W$48:$W$147,"Onshore",'2. Roles &amp; Pricing'!AC$48:AC$147,"Yes"),COUNTIFS('2. Roles &amp; Pricing'!$W$48:$W$147,"Offshore",'2. Roles &amp; Pricing'!AC$48:AC$147,"Yes"))),"")</f>
        <v>0.4</v>
      </c>
      <c r="D22" s="1098">
        <f>IFERROR((COUNTIFS('2. Roles &amp; Pricing'!$W$48:$W$147,"Offshore",'2. Roles &amp; Pricing'!AE$48:AE$147,"Yes")/SUM(COUNTIFS('2. Roles &amp; Pricing'!$W$48:$W$147,"Onshore",'2. Roles &amp; Pricing'!AE$48:AE$147,"Yes"),COUNTIFS('2. Roles &amp; Pricing'!$W$48:$W$147,"Offshore",'2. Roles &amp; Pricing'!AE$48:AE$147,"Yes"))),"")</f>
        <v>0.5</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25">
      <c r="B23" s="896" t="s">
        <v>111</v>
      </c>
      <c r="C23" s="1099">
        <f>'2. Roles &amp; Pricing'!AD30</f>
        <v>58.352112676056336</v>
      </c>
      <c r="D23" s="1099">
        <f>'2. Roles &amp; Pricing'!AE30</f>
        <v>48</v>
      </c>
      <c r="E23" s="1118">
        <f>'2. Roles &amp; Pricing'!AF30</f>
        <v>42.512195121951223</v>
      </c>
    </row>
    <row r="24" spans="2:8" x14ac:dyDescent="0.25">
      <c r="B24" s="896" t="s">
        <v>194</v>
      </c>
      <c r="C24" s="1081">
        <f>COUNTIFS('2. Roles &amp; Pricing'!$Y$48:$Y$147,"&gt;=21",'2. Roles &amp; Pricing'!AC$48:AC$147,"Yes")</f>
        <v>5</v>
      </c>
      <c r="D24" s="1081">
        <f>COUNTIFS('2. Roles &amp; Pricing'!$Y$48:$Y$147,"&gt;=21",'2. Roles &amp; Pricing'!AE$48:AE$147,"Yes")</f>
        <v>2</v>
      </c>
      <c r="E24" s="971">
        <f>COUNTIFS('2. Roles &amp; Pricing'!$Y$48:$Y$147,"&gt;=21",'2. Roles &amp; Pricing'!AF$48:AF$147,"Yes")</f>
        <v>3</v>
      </c>
    </row>
    <row r="25" spans="2:8" x14ac:dyDescent="0.25">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25">
      <c r="B26" s="896" t="s">
        <v>196</v>
      </c>
      <c r="C26" s="1101">
        <f>SUMIFS('2. Roles &amp; Pricing'!$M$291:$M$390,'2. Roles &amp; Pricing'!AC$48:$AC$147,"yes")</f>
        <v>5680</v>
      </c>
      <c r="D26" s="1101">
        <f>SUMIFS('2. Roles &amp; Pricing'!$M$291:$M$390,'2. Roles &amp; Pricing'!$AE$48:AE$147,"yes")</f>
        <v>2080</v>
      </c>
      <c r="E26" s="972">
        <f>SUMIFS('2. Roles &amp; Pricing'!$M$291:$M$390,'2. Roles &amp; Pricing'!$AE$48:AE$147,"yes")</f>
        <v>2080</v>
      </c>
    </row>
    <row r="27" spans="2:8" x14ac:dyDescent="0.25">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25">
      <c r="B28" s="1121" t="s">
        <v>198</v>
      </c>
      <c r="C28" s="1122">
        <f>COUNTIF('2. Roles &amp; Pricing'!AC$48:AC$147,"Yes")</f>
        <v>5</v>
      </c>
      <c r="D28" s="1122">
        <f>COUNTIF('2. Roles &amp; Pricing'!AE$48:AE$147,"Yes")</f>
        <v>2</v>
      </c>
      <c r="E28" s="1123">
        <f>COUNTIF('2. Roles &amp; Pricing'!AF$48:AF$147,"Yes")</f>
        <v>3</v>
      </c>
    </row>
    <row r="30" spans="2:8" x14ac:dyDescent="0.25">
      <c r="B30" s="2041" t="s">
        <v>199</v>
      </c>
      <c r="C30" s="2042"/>
      <c r="D30" s="2042"/>
      <c r="E30" s="2042"/>
      <c r="F30" s="2042"/>
      <c r="G30" s="2042"/>
      <c r="H30" s="2043"/>
    </row>
    <row r="31" spans="2:8" x14ac:dyDescent="0.25">
      <c r="B31" s="2040" t="s">
        <v>200</v>
      </c>
      <c r="C31" s="2040" t="s">
        <v>43</v>
      </c>
      <c r="D31" s="2040"/>
      <c r="E31" s="2040" t="s">
        <v>44</v>
      </c>
      <c r="F31" s="2040"/>
      <c r="G31" s="2040" t="s">
        <v>45</v>
      </c>
      <c r="H31" s="2040"/>
    </row>
    <row r="32" spans="2:8" x14ac:dyDescent="0.25">
      <c r="B32" s="2040"/>
      <c r="C32" s="1131" t="s">
        <v>201</v>
      </c>
      <c r="D32" s="1132" t="s">
        <v>202</v>
      </c>
      <c r="E32" s="1131" t="s">
        <v>201</v>
      </c>
      <c r="F32" s="1132" t="s">
        <v>202</v>
      </c>
      <c r="G32" s="1131" t="s">
        <v>201</v>
      </c>
      <c r="H32" s="1132" t="s">
        <v>202</v>
      </c>
    </row>
    <row r="33" spans="2:8" x14ac:dyDescent="0.25">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25">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732400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306400</v>
      </c>
    </row>
    <row r="35" spans="2:8" x14ac:dyDescent="0.25">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25">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25">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25">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25">
      <c r="B39" s="974" t="s">
        <v>209</v>
      </c>
      <c r="C39" s="959" t="s">
        <v>210</v>
      </c>
      <c r="D39" s="959" t="s">
        <v>210</v>
      </c>
      <c r="E39" s="959" t="s">
        <v>210</v>
      </c>
      <c r="F39" s="960" t="s">
        <v>210</v>
      </c>
      <c r="G39" s="959" t="s">
        <v>210</v>
      </c>
      <c r="H39" s="976" t="s">
        <v>210</v>
      </c>
    </row>
    <row r="40" spans="2:8" x14ac:dyDescent="0.25">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77734375" defaultRowHeight="14.4" x14ac:dyDescent="0.3"/>
  <cols>
    <col min="1" max="1" width="6.109375" customWidth="1"/>
    <col min="2" max="2" width="26.44140625" customWidth="1"/>
    <col min="3" max="3" width="54.6640625" bestFit="1" customWidth="1"/>
    <col min="4" max="4" width="60.21875" style="1585" customWidth="1"/>
    <col min="5" max="5" width="85.21875" bestFit="1" customWidth="1"/>
    <col min="6" max="6" width="17.6640625" customWidth="1"/>
    <col min="7" max="7" width="16.21875" customWidth="1"/>
    <col min="8" max="8" width="13.33203125" customWidth="1"/>
    <col min="9" max="9" width="8.44140625" customWidth="1"/>
    <col min="10" max="10" width="0" hidden="1" customWidth="1"/>
  </cols>
  <sheetData>
    <row r="1" spans="2:10" x14ac:dyDescent="0.3">
      <c r="B1" s="1302" t="s">
        <v>236</v>
      </c>
      <c r="C1" s="1302" t="s">
        <v>237</v>
      </c>
      <c r="D1" s="1584" t="s">
        <v>3580</v>
      </c>
      <c r="E1" s="1302" t="s">
        <v>3581</v>
      </c>
      <c r="F1" s="1302" t="s">
        <v>239</v>
      </c>
      <c r="G1" s="1302" t="s">
        <v>240</v>
      </c>
      <c r="H1" s="1302" t="s">
        <v>241</v>
      </c>
      <c r="I1" s="1303" t="s">
        <v>173</v>
      </c>
      <c r="J1" s="1302" t="s">
        <v>3213</v>
      </c>
    </row>
    <row r="2" spans="2:10" ht="28.2" x14ac:dyDescent="0.3">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2" x14ac:dyDescent="0.3">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2" x14ac:dyDescent="0.3">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5.8" x14ac:dyDescent="0.3">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 x14ac:dyDescent="0.3">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2" x14ac:dyDescent="0.3">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2" x14ac:dyDescent="0.3">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 x14ac:dyDescent="0.3">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 x14ac:dyDescent="0.3">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 x14ac:dyDescent="0.3">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5.8" x14ac:dyDescent="0.3">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5.8" x14ac:dyDescent="0.3">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 x14ac:dyDescent="0.3">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 x14ac:dyDescent="0.3">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 x14ac:dyDescent="0.3">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2" x14ac:dyDescent="0.3">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2" x14ac:dyDescent="0.3">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2" x14ac:dyDescent="0.3">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 x14ac:dyDescent="0.3">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2" x14ac:dyDescent="0.3">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 x14ac:dyDescent="0.3">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 x14ac:dyDescent="0.3">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5.8" x14ac:dyDescent="0.3">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2" x14ac:dyDescent="0.3">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 x14ac:dyDescent="0.3">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5.8" x14ac:dyDescent="0.3">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5.8" x14ac:dyDescent="0.3">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2" x14ac:dyDescent="0.3">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2" x14ac:dyDescent="0.3">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 x14ac:dyDescent="0.3">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2" x14ac:dyDescent="0.3">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 x14ac:dyDescent="0.3">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5.8" x14ac:dyDescent="0.3">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 x14ac:dyDescent="0.3">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2" x14ac:dyDescent="0.3">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5.8" x14ac:dyDescent="0.3">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5.8" x14ac:dyDescent="0.3">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5.8" x14ac:dyDescent="0.3">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2" x14ac:dyDescent="0.3">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5.8" x14ac:dyDescent="0.3">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55.8" x14ac:dyDescent="0.3">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5.8" x14ac:dyDescent="0.3">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5.8" x14ac:dyDescent="0.3">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2" x14ac:dyDescent="0.3">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5.8" x14ac:dyDescent="0.3">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5.8" x14ac:dyDescent="0.3">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 x14ac:dyDescent="0.3">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2" x14ac:dyDescent="0.3">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5.8" x14ac:dyDescent="0.3">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 x14ac:dyDescent="0.3">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5.8" x14ac:dyDescent="0.3">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5.8" x14ac:dyDescent="0.3">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 x14ac:dyDescent="0.3">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5.8" x14ac:dyDescent="0.3">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2" x14ac:dyDescent="0.3">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5.8" x14ac:dyDescent="0.3">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 x14ac:dyDescent="0.3">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5.8" x14ac:dyDescent="0.3">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2" x14ac:dyDescent="0.3">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2" x14ac:dyDescent="0.3">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2" x14ac:dyDescent="0.3">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5.8" x14ac:dyDescent="0.3">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5.8" x14ac:dyDescent="0.3">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2" x14ac:dyDescent="0.3">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5.8" x14ac:dyDescent="0.3">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 x14ac:dyDescent="0.3">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5.8" x14ac:dyDescent="0.3">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5.8" x14ac:dyDescent="0.3">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 x14ac:dyDescent="0.3">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2" x14ac:dyDescent="0.3">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2" x14ac:dyDescent="0.3">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2" x14ac:dyDescent="0.3">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2" x14ac:dyDescent="0.3">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2" x14ac:dyDescent="0.3">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2" x14ac:dyDescent="0.3">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2" x14ac:dyDescent="0.3">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2" x14ac:dyDescent="0.3">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2" x14ac:dyDescent="0.3">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2" x14ac:dyDescent="0.3">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2" x14ac:dyDescent="0.3">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2" x14ac:dyDescent="0.3">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2" x14ac:dyDescent="0.3">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2" x14ac:dyDescent="0.3">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2" x14ac:dyDescent="0.3">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2" x14ac:dyDescent="0.3">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2" x14ac:dyDescent="0.3">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2" x14ac:dyDescent="0.3">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2" x14ac:dyDescent="0.3">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2" x14ac:dyDescent="0.3">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2" x14ac:dyDescent="0.3">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2" x14ac:dyDescent="0.3">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2" x14ac:dyDescent="0.3">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2" x14ac:dyDescent="0.3">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2" x14ac:dyDescent="0.3">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2" x14ac:dyDescent="0.3">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2" x14ac:dyDescent="0.3">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2" x14ac:dyDescent="0.3">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2" x14ac:dyDescent="0.3">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2" x14ac:dyDescent="0.3">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2" x14ac:dyDescent="0.3">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2" x14ac:dyDescent="0.3">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2" x14ac:dyDescent="0.3">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2" x14ac:dyDescent="0.3">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2" x14ac:dyDescent="0.3">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2" x14ac:dyDescent="0.3">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2" x14ac:dyDescent="0.3">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2" x14ac:dyDescent="0.3">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2" x14ac:dyDescent="0.3">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2" x14ac:dyDescent="0.3">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2" x14ac:dyDescent="0.3">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2" x14ac:dyDescent="0.3">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2" x14ac:dyDescent="0.3">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2" x14ac:dyDescent="0.3">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2" x14ac:dyDescent="0.3">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2" x14ac:dyDescent="0.3">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2" x14ac:dyDescent="0.3">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2" x14ac:dyDescent="0.3">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2" x14ac:dyDescent="0.3">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2" x14ac:dyDescent="0.3">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2" x14ac:dyDescent="0.3">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2" x14ac:dyDescent="0.3">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2" x14ac:dyDescent="0.3">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2" x14ac:dyDescent="0.3">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2" x14ac:dyDescent="0.3">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2" x14ac:dyDescent="0.3">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2" x14ac:dyDescent="0.3">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2" x14ac:dyDescent="0.3">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2" x14ac:dyDescent="0.3">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2" x14ac:dyDescent="0.3">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2" x14ac:dyDescent="0.3">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2" x14ac:dyDescent="0.3">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2" x14ac:dyDescent="0.3">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2" x14ac:dyDescent="0.3">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2" x14ac:dyDescent="0.3">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2" x14ac:dyDescent="0.3">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5.8" x14ac:dyDescent="0.3">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2" x14ac:dyDescent="0.3">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2" x14ac:dyDescent="0.3">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2" x14ac:dyDescent="0.3">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2" x14ac:dyDescent="0.3">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2" x14ac:dyDescent="0.3">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2" x14ac:dyDescent="0.3">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2" x14ac:dyDescent="0.3">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2" x14ac:dyDescent="0.3">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2" x14ac:dyDescent="0.3">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2" x14ac:dyDescent="0.3">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2" x14ac:dyDescent="0.3">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2" x14ac:dyDescent="0.3">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2" x14ac:dyDescent="0.3">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2" x14ac:dyDescent="0.3">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2" x14ac:dyDescent="0.3">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2" x14ac:dyDescent="0.3">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2" x14ac:dyDescent="0.3">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2" x14ac:dyDescent="0.3">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2" x14ac:dyDescent="0.3">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2" x14ac:dyDescent="0.3">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2" x14ac:dyDescent="0.3">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2" x14ac:dyDescent="0.3">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2" x14ac:dyDescent="0.3">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2" x14ac:dyDescent="0.3">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2" x14ac:dyDescent="0.3">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2" x14ac:dyDescent="0.3">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2" x14ac:dyDescent="0.3">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2" x14ac:dyDescent="0.3">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2" x14ac:dyDescent="0.3">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2" x14ac:dyDescent="0.3">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2" x14ac:dyDescent="0.3">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2" x14ac:dyDescent="0.3">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2" x14ac:dyDescent="0.3">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2" x14ac:dyDescent="0.3">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2" x14ac:dyDescent="0.3">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2" x14ac:dyDescent="0.3">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2" x14ac:dyDescent="0.3">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2" x14ac:dyDescent="0.3">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2" x14ac:dyDescent="0.3">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2" x14ac:dyDescent="0.3">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2" x14ac:dyDescent="0.3">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2" x14ac:dyDescent="0.3">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2" x14ac:dyDescent="0.3">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2" x14ac:dyDescent="0.3">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2" x14ac:dyDescent="0.3">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2" x14ac:dyDescent="0.3">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2" x14ac:dyDescent="0.3">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2" x14ac:dyDescent="0.3">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2" x14ac:dyDescent="0.3">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2" x14ac:dyDescent="0.3">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2" x14ac:dyDescent="0.3">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2" x14ac:dyDescent="0.3">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2" x14ac:dyDescent="0.3">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2" x14ac:dyDescent="0.3">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2" x14ac:dyDescent="0.3">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2" x14ac:dyDescent="0.3">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2" x14ac:dyDescent="0.3">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2" x14ac:dyDescent="0.3">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2" x14ac:dyDescent="0.3">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2" x14ac:dyDescent="0.3">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2" x14ac:dyDescent="0.3">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2" x14ac:dyDescent="0.3">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2" x14ac:dyDescent="0.3">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2" x14ac:dyDescent="0.3">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2" x14ac:dyDescent="0.3">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2" x14ac:dyDescent="0.3">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2" x14ac:dyDescent="0.3">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2" x14ac:dyDescent="0.3">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2" x14ac:dyDescent="0.3">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2" x14ac:dyDescent="0.3">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2" x14ac:dyDescent="0.3">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2" x14ac:dyDescent="0.3">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2" x14ac:dyDescent="0.3">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2" x14ac:dyDescent="0.3">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2" x14ac:dyDescent="0.3">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2" x14ac:dyDescent="0.3">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2" x14ac:dyDescent="0.3">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2" x14ac:dyDescent="0.3">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2" x14ac:dyDescent="0.3">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2" x14ac:dyDescent="0.3">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2" x14ac:dyDescent="0.3">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2" x14ac:dyDescent="0.3">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2" x14ac:dyDescent="0.3">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2" x14ac:dyDescent="0.3">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2" x14ac:dyDescent="0.3">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2" x14ac:dyDescent="0.3">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2" x14ac:dyDescent="0.3">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2" x14ac:dyDescent="0.3">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2" x14ac:dyDescent="0.3">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2" x14ac:dyDescent="0.3">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2" x14ac:dyDescent="0.3">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2" x14ac:dyDescent="0.3">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2" x14ac:dyDescent="0.3">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2" x14ac:dyDescent="0.3">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2" x14ac:dyDescent="0.3">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2" x14ac:dyDescent="0.3">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2" x14ac:dyDescent="0.3">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2" x14ac:dyDescent="0.3">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2" x14ac:dyDescent="0.3">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2" x14ac:dyDescent="0.3">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2" x14ac:dyDescent="0.3">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2" x14ac:dyDescent="0.3">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2" x14ac:dyDescent="0.3">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2" x14ac:dyDescent="0.3">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2" x14ac:dyDescent="0.3">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2" x14ac:dyDescent="0.3">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2" x14ac:dyDescent="0.3">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2" x14ac:dyDescent="0.3">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2" x14ac:dyDescent="0.3">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2" x14ac:dyDescent="0.3">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2" x14ac:dyDescent="0.3">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2" x14ac:dyDescent="0.3">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2" x14ac:dyDescent="0.3">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2" x14ac:dyDescent="0.3">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2" x14ac:dyDescent="0.3">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2" x14ac:dyDescent="0.3">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2" x14ac:dyDescent="0.3">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2" x14ac:dyDescent="0.3">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2" x14ac:dyDescent="0.3">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2" x14ac:dyDescent="0.3">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2" x14ac:dyDescent="0.3">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2" x14ac:dyDescent="0.3">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2" x14ac:dyDescent="0.3">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2" x14ac:dyDescent="0.3">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2" x14ac:dyDescent="0.3">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2" x14ac:dyDescent="0.3">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2" x14ac:dyDescent="0.3">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2" x14ac:dyDescent="0.3">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2" x14ac:dyDescent="0.3">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2" x14ac:dyDescent="0.3">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2" x14ac:dyDescent="0.3">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2" x14ac:dyDescent="0.3">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2" x14ac:dyDescent="0.3">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2" x14ac:dyDescent="0.3">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2" x14ac:dyDescent="0.3">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2" x14ac:dyDescent="0.3">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2" x14ac:dyDescent="0.3">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2" x14ac:dyDescent="0.3">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2" x14ac:dyDescent="0.3">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2" x14ac:dyDescent="0.3">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2" x14ac:dyDescent="0.3">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2" x14ac:dyDescent="0.3">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2" x14ac:dyDescent="0.3">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2" x14ac:dyDescent="0.3">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2" x14ac:dyDescent="0.3">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2" x14ac:dyDescent="0.3">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2" x14ac:dyDescent="0.3">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2" x14ac:dyDescent="0.3">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2" x14ac:dyDescent="0.3">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2" x14ac:dyDescent="0.3">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2" x14ac:dyDescent="0.3">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2" x14ac:dyDescent="0.3">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2" x14ac:dyDescent="0.3">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2" x14ac:dyDescent="0.3">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2" x14ac:dyDescent="0.3">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2" x14ac:dyDescent="0.3">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2" x14ac:dyDescent="0.3">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2" x14ac:dyDescent="0.3">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77734375" defaultRowHeight="14.4" x14ac:dyDescent="0.3"/>
  <cols>
    <col min="1" max="2" width="25.44140625" customWidth="1"/>
    <col min="3" max="4" width="13.44140625" customWidth="1"/>
    <col min="5" max="5" width="73.44140625" bestFit="1" customWidth="1"/>
  </cols>
  <sheetData>
    <row r="1" spans="1:6" x14ac:dyDescent="0.3">
      <c r="A1" s="112" t="s">
        <v>598</v>
      </c>
      <c r="B1" s="112" t="s">
        <v>599</v>
      </c>
      <c r="C1" s="112" t="s">
        <v>600</v>
      </c>
      <c r="D1" s="112" t="s">
        <v>601</v>
      </c>
      <c r="E1" s="111" t="s">
        <v>602</v>
      </c>
      <c r="F1" s="111" t="s">
        <v>173</v>
      </c>
    </row>
    <row r="2" spans="1:6" x14ac:dyDescent="0.3">
      <c r="A2" s="113" t="s">
        <v>603</v>
      </c>
      <c r="B2" s="113" t="s">
        <v>604</v>
      </c>
      <c r="C2" s="114">
        <v>0</v>
      </c>
      <c r="D2" s="114">
        <v>0</v>
      </c>
      <c r="E2" t="str">
        <f t="shared" ref="E2:E22" si="0">CONCATENATE(A2," - ",B2)</f>
        <v>* Client Custom - Client Rate Level 01</v>
      </c>
    </row>
    <row r="3" spans="1:6" x14ac:dyDescent="0.3">
      <c r="A3" s="113" t="s">
        <v>603</v>
      </c>
      <c r="B3" s="113" t="s">
        <v>605</v>
      </c>
      <c r="C3" s="114">
        <v>0</v>
      </c>
      <c r="D3" s="114">
        <v>0</v>
      </c>
      <c r="E3" t="str">
        <f t="shared" si="0"/>
        <v>* Client Custom - Client Rate Level 02</v>
      </c>
    </row>
    <row r="4" spans="1:6" x14ac:dyDescent="0.3">
      <c r="A4" s="113" t="s">
        <v>603</v>
      </c>
      <c r="B4" s="113" t="s">
        <v>606</v>
      </c>
      <c r="C4" s="114">
        <v>0</v>
      </c>
      <c r="D4" s="114">
        <v>0</v>
      </c>
      <c r="E4" t="str">
        <f t="shared" si="0"/>
        <v>* Client Custom - Client Rate Level 03</v>
      </c>
    </row>
    <row r="5" spans="1:6" x14ac:dyDescent="0.3">
      <c r="A5" s="113" t="s">
        <v>603</v>
      </c>
      <c r="B5" s="113" t="s">
        <v>607</v>
      </c>
      <c r="C5" s="114">
        <v>0</v>
      </c>
      <c r="D5" s="114">
        <v>0</v>
      </c>
      <c r="E5" t="str">
        <f t="shared" si="0"/>
        <v>* Client Custom - Client Rate Level 04</v>
      </c>
    </row>
    <row r="6" spans="1:6" x14ac:dyDescent="0.3">
      <c r="A6" s="113" t="s">
        <v>603</v>
      </c>
      <c r="B6" s="113" t="s">
        <v>608</v>
      </c>
      <c r="C6" s="114">
        <v>0</v>
      </c>
      <c r="D6" s="114">
        <v>0</v>
      </c>
      <c r="E6" t="str">
        <f t="shared" si="0"/>
        <v>* Client Custom - Client Rate Level 05</v>
      </c>
    </row>
    <row r="7" spans="1:6" x14ac:dyDescent="0.3">
      <c r="A7" s="113" t="s">
        <v>603</v>
      </c>
      <c r="B7" s="113" t="s">
        <v>609</v>
      </c>
      <c r="C7" s="114">
        <v>0</v>
      </c>
      <c r="D7" s="114">
        <v>0</v>
      </c>
      <c r="E7" t="str">
        <f t="shared" si="0"/>
        <v>* Client Custom - Client Rate Level 06</v>
      </c>
    </row>
    <row r="8" spans="1:6" x14ac:dyDescent="0.3">
      <c r="A8" s="113" t="s">
        <v>603</v>
      </c>
      <c r="B8" s="113" t="s">
        <v>610</v>
      </c>
      <c r="C8" s="114">
        <v>0</v>
      </c>
      <c r="D8" s="114">
        <v>0</v>
      </c>
      <c r="E8" t="str">
        <f t="shared" si="0"/>
        <v>* Client Custom - Client Rate Level 07</v>
      </c>
    </row>
    <row r="9" spans="1:6" x14ac:dyDescent="0.3">
      <c r="A9" s="113" t="s">
        <v>603</v>
      </c>
      <c r="B9" s="113" t="s">
        <v>611</v>
      </c>
      <c r="C9" s="114">
        <v>0</v>
      </c>
      <c r="D9" s="114">
        <v>0</v>
      </c>
      <c r="E9" t="str">
        <f t="shared" si="0"/>
        <v>* Client Custom - Client Rate Level 08</v>
      </c>
    </row>
    <row r="10" spans="1:6" x14ac:dyDescent="0.3">
      <c r="A10" s="113" t="s">
        <v>603</v>
      </c>
      <c r="B10" s="113" t="s">
        <v>612</v>
      </c>
      <c r="C10" s="114">
        <v>0</v>
      </c>
      <c r="D10" s="114">
        <v>0</v>
      </c>
      <c r="E10" t="str">
        <f t="shared" si="0"/>
        <v>* Client Custom - Client Rate Level 09</v>
      </c>
    </row>
    <row r="11" spans="1:6" x14ac:dyDescent="0.3">
      <c r="A11" s="113" t="s">
        <v>603</v>
      </c>
      <c r="B11" s="113" t="s">
        <v>613</v>
      </c>
      <c r="C11" s="114">
        <v>0</v>
      </c>
      <c r="D11" s="114">
        <v>0</v>
      </c>
      <c r="E11" t="str">
        <f t="shared" si="0"/>
        <v>* Client Custom - Client Rate Level 10</v>
      </c>
    </row>
    <row r="12" spans="1:6" x14ac:dyDescent="0.3">
      <c r="A12" s="113" t="s">
        <v>603</v>
      </c>
      <c r="B12" s="113" t="s">
        <v>614</v>
      </c>
      <c r="C12" s="114">
        <v>0</v>
      </c>
      <c r="D12" s="114">
        <v>0</v>
      </c>
      <c r="E12" t="str">
        <f t="shared" si="0"/>
        <v>* Client Custom - Client Rate Level 11</v>
      </c>
    </row>
    <row r="13" spans="1:6" x14ac:dyDescent="0.3">
      <c r="A13" s="113" t="s">
        <v>603</v>
      </c>
      <c r="B13" s="113" t="s">
        <v>615</v>
      </c>
      <c r="C13" s="114">
        <v>0</v>
      </c>
      <c r="D13" s="114">
        <v>0</v>
      </c>
      <c r="E13" t="str">
        <f t="shared" si="0"/>
        <v>* Client Custom - Client Rate Level 12</v>
      </c>
    </row>
    <row r="14" spans="1:6" x14ac:dyDescent="0.3">
      <c r="A14" s="113" t="s">
        <v>603</v>
      </c>
      <c r="B14" s="113" t="s">
        <v>616</v>
      </c>
      <c r="C14" s="114">
        <v>0</v>
      </c>
      <c r="D14" s="114">
        <v>0</v>
      </c>
      <c r="E14" t="str">
        <f t="shared" si="0"/>
        <v>* Client Custom - Client Rate Level 13</v>
      </c>
    </row>
    <row r="15" spans="1:6" x14ac:dyDescent="0.3">
      <c r="A15" s="113" t="s">
        <v>603</v>
      </c>
      <c r="B15" s="113" t="s">
        <v>617</v>
      </c>
      <c r="C15" s="114">
        <v>0</v>
      </c>
      <c r="D15" s="114">
        <v>0</v>
      </c>
      <c r="E15" t="str">
        <f t="shared" si="0"/>
        <v>* Client Custom - Client Rate Level 14</v>
      </c>
    </row>
    <row r="16" spans="1:6" x14ac:dyDescent="0.3">
      <c r="A16" s="113" t="s">
        <v>603</v>
      </c>
      <c r="B16" s="113" t="s">
        <v>618</v>
      </c>
      <c r="C16" s="114">
        <v>0</v>
      </c>
      <c r="D16" s="114">
        <v>0</v>
      </c>
      <c r="E16" t="str">
        <f t="shared" si="0"/>
        <v>* Client Custom - Client Rate Level 15</v>
      </c>
    </row>
    <row r="17" spans="1:5" x14ac:dyDescent="0.3">
      <c r="A17" s="113" t="s">
        <v>619</v>
      </c>
      <c r="B17" s="113" t="s">
        <v>620</v>
      </c>
      <c r="C17" s="114">
        <v>0</v>
      </c>
      <c r="D17" s="114">
        <v>0</v>
      </c>
      <c r="E17" t="str">
        <f t="shared" si="0"/>
        <v>* Role Type Rates - Data Scientist (inactive)</v>
      </c>
    </row>
    <row r="18" spans="1:5" x14ac:dyDescent="0.3">
      <c r="A18" s="113" t="s">
        <v>621</v>
      </c>
      <c r="B18" s="113" t="s">
        <v>622</v>
      </c>
      <c r="C18" s="114">
        <v>0</v>
      </c>
      <c r="D18" s="114">
        <v>0</v>
      </c>
      <c r="E18" t="str">
        <f t="shared" si="0"/>
        <v>Areteans US - A | Areteans US Personnel</v>
      </c>
    </row>
    <row r="19" spans="1:5" x14ac:dyDescent="0.3">
      <c r="A19" s="113" t="s">
        <v>621</v>
      </c>
      <c r="B19" s="113" t="s">
        <v>623</v>
      </c>
      <c r="C19" s="114">
        <v>0</v>
      </c>
      <c r="D19" s="114">
        <v>0</v>
      </c>
      <c r="E19" t="str">
        <f t="shared" si="0"/>
        <v>Areteans US - A | Areteans India Personnel</v>
      </c>
    </row>
    <row r="20" spans="1:5" x14ac:dyDescent="0.3">
      <c r="A20" s="113" t="s">
        <v>205</v>
      </c>
      <c r="B20" s="113" t="s">
        <v>624</v>
      </c>
      <c r="C20" s="114">
        <v>0</v>
      </c>
      <c r="D20" s="114">
        <v>0</v>
      </c>
      <c r="E20" t="str">
        <f t="shared" si="0"/>
        <v>BrightGen - BrightGen Resource</v>
      </c>
    </row>
    <row r="21" spans="1:5" x14ac:dyDescent="0.3">
      <c r="A21" s="113" t="s">
        <v>625</v>
      </c>
      <c r="B21" s="113" t="s">
        <v>626</v>
      </c>
      <c r="C21" s="114">
        <v>0</v>
      </c>
      <c r="D21" s="114">
        <v>0</v>
      </c>
      <c r="E21" t="str">
        <f t="shared" si="0"/>
        <v>Credera DE - Credera DE Resource</v>
      </c>
    </row>
    <row r="22" spans="1:5" x14ac:dyDescent="0.3">
      <c r="A22" s="113" t="s">
        <v>627</v>
      </c>
      <c r="B22" s="113" t="s">
        <v>628</v>
      </c>
      <c r="C22" s="114">
        <v>0</v>
      </c>
      <c r="D22" s="114">
        <v>0</v>
      </c>
      <c r="E22" t="str">
        <f t="shared" si="0"/>
        <v>Credera India Business Enablement - C | Corporate Staff</v>
      </c>
    </row>
    <row r="23" spans="1:5" x14ac:dyDescent="0.3">
      <c r="A23" s="113" t="s">
        <v>629</v>
      </c>
      <c r="B23" s="113" t="s">
        <v>3214</v>
      </c>
      <c r="C23" s="114">
        <v>13</v>
      </c>
      <c r="D23" s="114">
        <v>288</v>
      </c>
      <c r="E23" t="str">
        <f>CONCATENATE(A23," - ",B23)</f>
        <v>Credera India Consulting | Cloud &amp; Engineering - L2 / B1-B2 | Associate Engineer</v>
      </c>
    </row>
    <row r="24" spans="1:5" x14ac:dyDescent="0.3">
      <c r="A24" s="113" t="s">
        <v>629</v>
      </c>
      <c r="B24" s="113" t="s">
        <v>3215</v>
      </c>
      <c r="C24" s="114">
        <v>21</v>
      </c>
      <c r="D24" s="114">
        <v>456</v>
      </c>
      <c r="E24" t="str">
        <f t="shared" ref="E24:E87" si="1">CONCATENATE(A24," - ",B24)</f>
        <v>Credera India Consulting | Cloud &amp; Engineering - L2 / B1-B2 | Engineer</v>
      </c>
    </row>
    <row r="25" spans="1:5" x14ac:dyDescent="0.3">
      <c r="A25" s="113" t="s">
        <v>629</v>
      </c>
      <c r="B25" s="113" t="s">
        <v>1681</v>
      </c>
      <c r="C25" s="114">
        <v>39</v>
      </c>
      <c r="D25" s="114">
        <v>696</v>
      </c>
      <c r="E25" t="str">
        <f t="shared" si="1"/>
        <v>Credera India Consulting | Cloud &amp; Engineering - L3 / C1-C2 | Senior Engineer</v>
      </c>
    </row>
    <row r="26" spans="1:5" x14ac:dyDescent="0.3">
      <c r="A26" s="113" t="s">
        <v>629</v>
      </c>
      <c r="B26" s="113" t="s">
        <v>1682</v>
      </c>
      <c r="C26" s="114">
        <v>49</v>
      </c>
      <c r="D26" s="114">
        <v>824</v>
      </c>
      <c r="E26" t="str">
        <f t="shared" si="1"/>
        <v>Credera India Consulting | Cloud &amp; Engineering - L3 / C1-C2 | Lead Engineer</v>
      </c>
    </row>
    <row r="27" spans="1:5" x14ac:dyDescent="0.3">
      <c r="A27" s="113" t="s">
        <v>629</v>
      </c>
      <c r="B27" s="113" t="s">
        <v>1683</v>
      </c>
      <c r="C27" s="114">
        <v>60</v>
      </c>
      <c r="D27" s="114">
        <v>960</v>
      </c>
      <c r="E27" t="str">
        <f t="shared" si="1"/>
        <v>Credera India Consulting | Cloud &amp; Engineering - L4 / D1 | Architect</v>
      </c>
    </row>
    <row r="28" spans="1:5" x14ac:dyDescent="0.3">
      <c r="A28" s="113" t="s">
        <v>629</v>
      </c>
      <c r="B28" s="113" t="s">
        <v>1684</v>
      </c>
      <c r="C28" s="114">
        <v>81</v>
      </c>
      <c r="D28" s="114">
        <v>1184</v>
      </c>
      <c r="E28" t="str">
        <f t="shared" si="1"/>
        <v>Credera India Consulting | Cloud &amp; Engineering - L5 / D2-E1 | Senior Architect</v>
      </c>
    </row>
    <row r="29" spans="1:5" x14ac:dyDescent="0.3">
      <c r="A29" s="113" t="s">
        <v>629</v>
      </c>
      <c r="B29" s="113" t="s">
        <v>1685</v>
      </c>
      <c r="C29" s="114">
        <v>99</v>
      </c>
      <c r="D29" s="114">
        <v>1320</v>
      </c>
      <c r="E29" t="str">
        <f t="shared" si="1"/>
        <v>Credera India Consulting | Cloud &amp; Engineering - L6 / E2-S1 | Principal Architect</v>
      </c>
    </row>
    <row r="30" spans="1:5" x14ac:dyDescent="0.3">
      <c r="A30" s="113" t="s">
        <v>637</v>
      </c>
      <c r="B30" s="113" t="s">
        <v>3216</v>
      </c>
      <c r="C30" s="114">
        <v>11</v>
      </c>
      <c r="D30" s="114">
        <v>240</v>
      </c>
      <c r="E30" t="str">
        <f t="shared" si="1"/>
        <v>Credera India Consulting | Content - L2 / B1-B2 | Associate Content Engineer</v>
      </c>
    </row>
    <row r="31" spans="1:5" x14ac:dyDescent="0.3">
      <c r="A31" s="113" t="s">
        <v>637</v>
      </c>
      <c r="B31" s="113" t="s">
        <v>3217</v>
      </c>
      <c r="C31" s="114">
        <v>18</v>
      </c>
      <c r="D31" s="114">
        <v>392</v>
      </c>
      <c r="E31" t="str">
        <f t="shared" si="1"/>
        <v>Credera India Consulting | Content - L2 / B1-B2 | Content Engineer</v>
      </c>
    </row>
    <row r="32" spans="1:5" x14ac:dyDescent="0.3">
      <c r="A32" s="113" t="s">
        <v>637</v>
      </c>
      <c r="B32" s="113" t="s">
        <v>1688</v>
      </c>
      <c r="C32" s="114">
        <v>25</v>
      </c>
      <c r="D32" s="114">
        <v>448</v>
      </c>
      <c r="E32" t="str">
        <f t="shared" si="1"/>
        <v>Credera India Consulting | Content - L3 / C1-C2 | Senior Content Engineer</v>
      </c>
    </row>
    <row r="33" spans="1:5" x14ac:dyDescent="0.3">
      <c r="A33" s="113" t="s">
        <v>637</v>
      </c>
      <c r="B33" s="113" t="s">
        <v>1689</v>
      </c>
      <c r="C33" s="114">
        <v>33</v>
      </c>
      <c r="D33" s="114">
        <v>552</v>
      </c>
      <c r="E33" t="str">
        <f t="shared" si="1"/>
        <v>Credera India Consulting | Content - L3 / C1-C2 | Lead Content Engineer</v>
      </c>
    </row>
    <row r="34" spans="1:5" x14ac:dyDescent="0.3">
      <c r="A34" s="113" t="s">
        <v>638</v>
      </c>
      <c r="B34" s="113" t="s">
        <v>3214</v>
      </c>
      <c r="C34" s="114">
        <v>13</v>
      </c>
      <c r="D34" s="114">
        <v>288</v>
      </c>
      <c r="E34" t="str">
        <f t="shared" si="1"/>
        <v>Credera India Consulting | Data &amp; AI - L2 / B1-B2 | Associate Engineer</v>
      </c>
    </row>
    <row r="35" spans="1:5" x14ac:dyDescent="0.3">
      <c r="A35" s="113" t="s">
        <v>638</v>
      </c>
      <c r="B35" s="113" t="s">
        <v>3215</v>
      </c>
      <c r="C35" s="114">
        <v>23</v>
      </c>
      <c r="D35" s="114">
        <v>504</v>
      </c>
      <c r="E35" t="str">
        <f t="shared" si="1"/>
        <v>Credera India Consulting | Data &amp; AI - L2 / B1-B2 | Engineer</v>
      </c>
    </row>
    <row r="36" spans="1:5" x14ac:dyDescent="0.3">
      <c r="A36" s="113" t="s">
        <v>638</v>
      </c>
      <c r="B36" s="113" t="s">
        <v>1681</v>
      </c>
      <c r="C36" s="114">
        <v>43</v>
      </c>
      <c r="D36" s="114">
        <v>768</v>
      </c>
      <c r="E36" t="str">
        <f t="shared" si="1"/>
        <v>Credera India Consulting | Data &amp; AI - L3 / C1-C2 | Senior Engineer</v>
      </c>
    </row>
    <row r="37" spans="1:5" x14ac:dyDescent="0.3">
      <c r="A37" s="113" t="s">
        <v>638</v>
      </c>
      <c r="B37" s="113" t="s">
        <v>1682</v>
      </c>
      <c r="C37" s="114">
        <v>53</v>
      </c>
      <c r="D37" s="114">
        <v>888</v>
      </c>
      <c r="E37" t="str">
        <f t="shared" si="1"/>
        <v>Credera India Consulting | Data &amp; AI - L3 / C1-C2 | Lead Engineer</v>
      </c>
    </row>
    <row r="38" spans="1:5" x14ac:dyDescent="0.3">
      <c r="A38" s="113" t="s">
        <v>638</v>
      </c>
      <c r="B38" s="113" t="s">
        <v>1683</v>
      </c>
      <c r="C38" s="114">
        <v>60</v>
      </c>
      <c r="D38" s="114">
        <v>960</v>
      </c>
      <c r="E38" t="str">
        <f t="shared" si="1"/>
        <v>Credera India Consulting | Data &amp; AI - L4 / D1 | Architect</v>
      </c>
    </row>
    <row r="39" spans="1:5" x14ac:dyDescent="0.3">
      <c r="A39" s="113" t="s">
        <v>638</v>
      </c>
      <c r="B39" s="113" t="s">
        <v>1684</v>
      </c>
      <c r="C39" s="114">
        <v>81</v>
      </c>
      <c r="D39" s="114">
        <v>1184</v>
      </c>
      <c r="E39" t="str">
        <f t="shared" si="1"/>
        <v>Credera India Consulting | Data &amp; AI - L5 / D2-E1 | Senior Architect</v>
      </c>
    </row>
    <row r="40" spans="1:5" x14ac:dyDescent="0.3">
      <c r="A40" s="113" t="s">
        <v>638</v>
      </c>
      <c r="B40" s="113" t="s">
        <v>1685</v>
      </c>
      <c r="C40" s="114">
        <v>99</v>
      </c>
      <c r="D40" s="114">
        <v>1320</v>
      </c>
      <c r="E40" t="str">
        <f t="shared" si="1"/>
        <v>Credera India Consulting | Data &amp; AI - L6 / E2-S1 | Principal Architect</v>
      </c>
    </row>
    <row r="41" spans="1:5" x14ac:dyDescent="0.3">
      <c r="A41" s="113" t="s">
        <v>639</v>
      </c>
      <c r="B41" s="113" t="s">
        <v>3218</v>
      </c>
      <c r="C41" s="114">
        <v>13</v>
      </c>
      <c r="D41" s="114">
        <v>288</v>
      </c>
      <c r="E41" t="str">
        <f t="shared" si="1"/>
        <v>Credera India Consulting | Experience Design - L2 / B1-B2 | Strategist</v>
      </c>
    </row>
    <row r="42" spans="1:5" x14ac:dyDescent="0.3">
      <c r="A42" s="113" t="s">
        <v>639</v>
      </c>
      <c r="B42" s="113" t="s">
        <v>1691</v>
      </c>
      <c r="C42" s="114">
        <v>27</v>
      </c>
      <c r="D42" s="114">
        <v>584</v>
      </c>
      <c r="E42" t="str">
        <f t="shared" si="1"/>
        <v>Credera India Consulting | Experience Design - L3 / C1-C2 | Senior Strategist</v>
      </c>
    </row>
    <row r="43" spans="1:5" x14ac:dyDescent="0.3">
      <c r="A43" s="113" t="s">
        <v>639</v>
      </c>
      <c r="B43" s="113" t="s">
        <v>1692</v>
      </c>
      <c r="C43" s="114">
        <v>41</v>
      </c>
      <c r="D43" s="114">
        <v>688</v>
      </c>
      <c r="E43" t="str">
        <f t="shared" si="1"/>
        <v>Credera India Consulting | Experience Design - L4 / D1 | Strategy Manager</v>
      </c>
    </row>
    <row r="44" spans="1:5" x14ac:dyDescent="0.3">
      <c r="A44" s="113" t="s">
        <v>639</v>
      </c>
      <c r="B44" s="113" t="s">
        <v>3102</v>
      </c>
      <c r="C44" s="114">
        <v>13</v>
      </c>
      <c r="D44" s="114">
        <v>288</v>
      </c>
      <c r="E44" t="str">
        <f t="shared" si="1"/>
        <v>Credera India Consulting | Experience Design - L2 / B1-B2 | Designer</v>
      </c>
    </row>
    <row r="45" spans="1:5" x14ac:dyDescent="0.3">
      <c r="A45" s="113" t="s">
        <v>639</v>
      </c>
      <c r="B45" s="113" t="s">
        <v>1694</v>
      </c>
      <c r="C45" s="114">
        <v>22</v>
      </c>
      <c r="D45" s="114">
        <v>424</v>
      </c>
      <c r="E45" t="str">
        <f t="shared" si="1"/>
        <v>Credera India Consulting | Experience Design - L3 / C1-C2 | Senior Designer</v>
      </c>
    </row>
    <row r="46" spans="1:5" x14ac:dyDescent="0.3">
      <c r="A46" s="113" t="s">
        <v>639</v>
      </c>
      <c r="B46" s="113" t="s">
        <v>1695</v>
      </c>
      <c r="C46" s="114">
        <v>39</v>
      </c>
      <c r="D46" s="114">
        <v>656</v>
      </c>
      <c r="E46" t="str">
        <f t="shared" si="1"/>
        <v>Credera India Consulting | Experience Design - L4 / D1 | Associate Design Director</v>
      </c>
    </row>
    <row r="47" spans="1:5" x14ac:dyDescent="0.3">
      <c r="A47" s="113" t="s">
        <v>639</v>
      </c>
      <c r="B47" s="113" t="s">
        <v>1696</v>
      </c>
      <c r="C47" s="114">
        <v>53</v>
      </c>
      <c r="D47" s="114">
        <v>848</v>
      </c>
      <c r="E47" t="str">
        <f t="shared" si="1"/>
        <v>Credera India Consulting | Experience Design - L5 / D2-E1 | Lead Design Director</v>
      </c>
    </row>
    <row r="48" spans="1:5" x14ac:dyDescent="0.3">
      <c r="A48" s="113" t="s">
        <v>639</v>
      </c>
      <c r="B48" s="113" t="s">
        <v>1697</v>
      </c>
      <c r="C48" s="114">
        <v>63</v>
      </c>
      <c r="D48" s="114">
        <v>1008</v>
      </c>
      <c r="E48" t="str">
        <f t="shared" si="1"/>
        <v>Credera India Consulting | Experience Design - L5 / D2-E1 | Principal Design Director</v>
      </c>
    </row>
    <row r="49" spans="1:5" x14ac:dyDescent="0.3">
      <c r="A49" s="113" t="s">
        <v>639</v>
      </c>
      <c r="B49" s="113" t="s">
        <v>1698</v>
      </c>
      <c r="C49" s="114">
        <v>81</v>
      </c>
      <c r="D49" s="114">
        <v>1296</v>
      </c>
      <c r="E49" t="str">
        <f t="shared" si="1"/>
        <v>Credera India Consulting | Experience Design - L6 / E2-S1 | Director</v>
      </c>
    </row>
    <row r="50" spans="1:5" x14ac:dyDescent="0.3">
      <c r="A50" s="113" t="s">
        <v>645</v>
      </c>
      <c r="B50" s="113" t="s">
        <v>1699</v>
      </c>
      <c r="C50" s="114">
        <v>32</v>
      </c>
      <c r="D50" s="114">
        <v>536</v>
      </c>
      <c r="E50" t="str">
        <f t="shared" si="1"/>
        <v>Credera India Consulting | Management Consulting - L3 / C1-C2 | Scrum Master</v>
      </c>
    </row>
    <row r="51" spans="1:5" x14ac:dyDescent="0.3">
      <c r="A51" s="113" t="s">
        <v>645</v>
      </c>
      <c r="B51" s="113" t="s">
        <v>1700</v>
      </c>
      <c r="C51" s="114">
        <v>41</v>
      </c>
      <c r="D51" s="114">
        <v>656</v>
      </c>
      <c r="E51" t="str">
        <f t="shared" si="1"/>
        <v>Credera India Consulting | Management Consulting - L5 / D2-E1 | Senior Scrum Master</v>
      </c>
    </row>
    <row r="52" spans="1:5" x14ac:dyDescent="0.3">
      <c r="A52" s="113" t="s">
        <v>645</v>
      </c>
      <c r="B52" s="113" t="s">
        <v>1701</v>
      </c>
      <c r="C52" s="114">
        <v>49</v>
      </c>
      <c r="D52" s="114">
        <v>784</v>
      </c>
      <c r="E52" t="str">
        <f t="shared" si="1"/>
        <v>Credera India Consulting | Management Consulting - L4 / D1 | Project Manager</v>
      </c>
    </row>
    <row r="53" spans="1:5" x14ac:dyDescent="0.3">
      <c r="A53" s="113" t="s">
        <v>645</v>
      </c>
      <c r="B53" s="113" t="s">
        <v>1702</v>
      </c>
      <c r="C53" s="114">
        <v>53</v>
      </c>
      <c r="D53" s="114">
        <v>848</v>
      </c>
      <c r="E53" t="str">
        <f t="shared" si="1"/>
        <v>Credera India Consulting | Management Consulting - L5 / D2-E1 | Senior Project Manager</v>
      </c>
    </row>
    <row r="54" spans="1:5" x14ac:dyDescent="0.3">
      <c r="A54" s="113" t="s">
        <v>645</v>
      </c>
      <c r="B54" s="113" t="s">
        <v>1703</v>
      </c>
      <c r="C54" s="114">
        <v>65</v>
      </c>
      <c r="D54" s="114">
        <v>1040</v>
      </c>
      <c r="E54" t="str">
        <f t="shared" si="1"/>
        <v>Credera India Consulting | Management Consulting - L6 / E2-S1 | Delivery Manager</v>
      </c>
    </row>
    <row r="55" spans="1:5" x14ac:dyDescent="0.3">
      <c r="A55" s="113" t="s">
        <v>645</v>
      </c>
      <c r="B55" s="113" t="s">
        <v>3219</v>
      </c>
      <c r="C55" s="114">
        <v>26</v>
      </c>
      <c r="D55" s="114">
        <v>568</v>
      </c>
      <c r="E55" t="str">
        <f t="shared" si="1"/>
        <v>Credera India Consulting | Management Consulting - L2 / B1-B2 | Consultant</v>
      </c>
    </row>
    <row r="56" spans="1:5" x14ac:dyDescent="0.3">
      <c r="A56" s="113" t="s">
        <v>645</v>
      </c>
      <c r="B56" s="113" t="s">
        <v>1705</v>
      </c>
      <c r="C56" s="114">
        <v>33</v>
      </c>
      <c r="D56" s="114">
        <v>632</v>
      </c>
      <c r="E56" t="str">
        <f t="shared" si="1"/>
        <v>Credera India Consulting | Management Consulting - L3 / C1-C2 | Senior Consultant</v>
      </c>
    </row>
    <row r="57" spans="1:5" x14ac:dyDescent="0.3">
      <c r="A57" s="113" t="s">
        <v>645</v>
      </c>
      <c r="B57" s="113" t="s">
        <v>1706</v>
      </c>
      <c r="C57" s="114">
        <v>49</v>
      </c>
      <c r="D57" s="114">
        <v>824</v>
      </c>
      <c r="E57" t="str">
        <f t="shared" si="1"/>
        <v>Credera India Consulting | Management Consulting - L4 / D1 | Manager</v>
      </c>
    </row>
    <row r="58" spans="1:5" x14ac:dyDescent="0.3">
      <c r="A58" s="113" t="s">
        <v>645</v>
      </c>
      <c r="B58" s="113" t="s">
        <v>1707</v>
      </c>
      <c r="C58" s="114">
        <v>53</v>
      </c>
      <c r="D58" s="114">
        <v>848</v>
      </c>
      <c r="E58" t="str">
        <f t="shared" si="1"/>
        <v>Credera India Consulting | Management Consulting - L5 / D2-E1 | Senior Manager</v>
      </c>
    </row>
    <row r="59" spans="1:5" x14ac:dyDescent="0.3">
      <c r="A59" s="113" t="s">
        <v>645</v>
      </c>
      <c r="B59" s="113" t="s">
        <v>1708</v>
      </c>
      <c r="C59" s="114">
        <v>65</v>
      </c>
      <c r="D59" s="114">
        <v>1040</v>
      </c>
      <c r="E59" t="str">
        <f t="shared" si="1"/>
        <v>Credera India Consulting | Management Consulting - L6 / E2-S1 | Principal</v>
      </c>
    </row>
    <row r="60" spans="1:5" x14ac:dyDescent="0.3">
      <c r="A60" s="113" t="s">
        <v>652</v>
      </c>
      <c r="B60" s="113" t="s">
        <v>3220</v>
      </c>
      <c r="C60" s="114">
        <v>11</v>
      </c>
      <c r="D60" s="114">
        <v>240</v>
      </c>
      <c r="E60" t="str">
        <f t="shared" si="1"/>
        <v>Credera India Consulting | Quality Assurance - L2 / B1-B2 | Associate QA Engineer</v>
      </c>
    </row>
    <row r="61" spans="1:5" x14ac:dyDescent="0.3">
      <c r="A61" s="113" t="s">
        <v>652</v>
      </c>
      <c r="B61" s="113" t="s">
        <v>2474</v>
      </c>
      <c r="C61" s="114">
        <v>18</v>
      </c>
      <c r="D61" s="114">
        <v>392</v>
      </c>
      <c r="E61" t="str">
        <f t="shared" si="1"/>
        <v>Credera India Consulting | Quality Assurance - L2 / B1-B2 | QA Engineer</v>
      </c>
    </row>
    <row r="62" spans="1:5" x14ac:dyDescent="0.3">
      <c r="A62" s="113" t="s">
        <v>652</v>
      </c>
      <c r="B62" s="113" t="s">
        <v>1709</v>
      </c>
      <c r="C62" s="114">
        <v>25</v>
      </c>
      <c r="D62" s="114">
        <v>448</v>
      </c>
      <c r="E62" t="str">
        <f t="shared" si="1"/>
        <v>Credera India Consulting | Quality Assurance - L3 / C1-C2 | Senior QA Engineer</v>
      </c>
    </row>
    <row r="63" spans="1:5" x14ac:dyDescent="0.3">
      <c r="A63" s="113" t="s">
        <v>652</v>
      </c>
      <c r="B63" s="113" t="s">
        <v>1710</v>
      </c>
      <c r="C63" s="114">
        <v>33</v>
      </c>
      <c r="D63" s="114">
        <v>552</v>
      </c>
      <c r="E63" t="str">
        <f t="shared" si="1"/>
        <v>Credera India Consulting | Quality Assurance - L3 / C1-C2 | Lead QA Engineer</v>
      </c>
    </row>
    <row r="64" spans="1:5" x14ac:dyDescent="0.3">
      <c r="A64" s="113" t="s">
        <v>652</v>
      </c>
      <c r="B64" s="113" t="s">
        <v>1711</v>
      </c>
      <c r="C64" s="114">
        <v>39</v>
      </c>
      <c r="D64" s="114">
        <v>624</v>
      </c>
      <c r="E64" t="str">
        <f t="shared" si="1"/>
        <v>Credera India Consulting | Quality Assurance - L4 / D1 | QA Architect</v>
      </c>
    </row>
    <row r="65" spans="1:5" x14ac:dyDescent="0.3">
      <c r="A65" s="113" t="s">
        <v>652</v>
      </c>
      <c r="B65" s="113" t="s">
        <v>1712</v>
      </c>
      <c r="C65" s="114">
        <v>51</v>
      </c>
      <c r="D65" s="114">
        <v>744</v>
      </c>
      <c r="E65" t="str">
        <f t="shared" si="1"/>
        <v>Credera India Consulting | Quality Assurance - L5 / D2-E1 | Senior QA Architect</v>
      </c>
    </row>
    <row r="66" spans="1:5" x14ac:dyDescent="0.3">
      <c r="A66" s="113" t="s">
        <v>652</v>
      </c>
      <c r="B66" s="113" t="s">
        <v>1713</v>
      </c>
      <c r="C66" s="114">
        <v>63</v>
      </c>
      <c r="D66" s="114">
        <v>840</v>
      </c>
      <c r="E66" t="str">
        <f t="shared" si="1"/>
        <v>Credera India Consulting | Quality Assurance - L6 / E2-S1 | Principal QA Architect</v>
      </c>
    </row>
    <row r="67" spans="1:5" x14ac:dyDescent="0.3">
      <c r="A67" s="113" t="s">
        <v>660</v>
      </c>
      <c r="B67" s="113" t="s">
        <v>3214</v>
      </c>
      <c r="C67" s="114">
        <v>13</v>
      </c>
      <c r="D67" s="114">
        <v>288</v>
      </c>
      <c r="E67" t="str">
        <f t="shared" si="1"/>
        <v>Credera India Digital | MarTech - L2 / B1-B2 | Associate Engineer</v>
      </c>
    </row>
    <row r="68" spans="1:5" x14ac:dyDescent="0.3">
      <c r="A68" s="113" t="s">
        <v>660</v>
      </c>
      <c r="B68" s="113" t="s">
        <v>3215</v>
      </c>
      <c r="C68" s="114">
        <v>20</v>
      </c>
      <c r="D68" s="114">
        <v>440</v>
      </c>
      <c r="E68" t="str">
        <f t="shared" si="1"/>
        <v>Credera India Digital | MarTech - L2 / B1-B2 | Engineer</v>
      </c>
    </row>
    <row r="69" spans="1:5" x14ac:dyDescent="0.3">
      <c r="A69" s="113" t="s">
        <v>660</v>
      </c>
      <c r="B69" s="113" t="s">
        <v>1681</v>
      </c>
      <c r="C69" s="114">
        <v>35</v>
      </c>
      <c r="D69" s="114">
        <v>624</v>
      </c>
      <c r="E69" t="str">
        <f t="shared" si="1"/>
        <v>Credera India Digital | MarTech - L3 / C1-C2 | Senior Engineer</v>
      </c>
    </row>
    <row r="70" spans="1:5" x14ac:dyDescent="0.3">
      <c r="A70" s="113" t="s">
        <v>660</v>
      </c>
      <c r="B70" s="113" t="s">
        <v>1682</v>
      </c>
      <c r="C70" s="114">
        <v>45</v>
      </c>
      <c r="D70" s="114">
        <v>752</v>
      </c>
      <c r="E70" t="str">
        <f t="shared" si="1"/>
        <v>Credera India Digital | MarTech - L3 / C1-C2 | Lead Engineer</v>
      </c>
    </row>
    <row r="71" spans="1:5" x14ac:dyDescent="0.3">
      <c r="A71" s="113" t="s">
        <v>660</v>
      </c>
      <c r="B71" s="113" t="s">
        <v>1683</v>
      </c>
      <c r="C71" s="114">
        <v>57</v>
      </c>
      <c r="D71" s="114">
        <v>912</v>
      </c>
      <c r="E71" t="str">
        <f t="shared" si="1"/>
        <v>Credera India Digital | MarTech - L4 / D1 | Architect</v>
      </c>
    </row>
    <row r="72" spans="1:5" x14ac:dyDescent="0.3">
      <c r="A72" s="113" t="s">
        <v>660</v>
      </c>
      <c r="B72" s="113" t="s">
        <v>1684</v>
      </c>
      <c r="C72" s="114">
        <v>69</v>
      </c>
      <c r="D72" s="114">
        <v>1008</v>
      </c>
      <c r="E72" t="str">
        <f t="shared" si="1"/>
        <v>Credera India Digital | MarTech - L5 / D2-E1 | Senior Architect</v>
      </c>
    </row>
    <row r="73" spans="1:5" x14ac:dyDescent="0.3">
      <c r="A73" s="113" t="s">
        <v>660</v>
      </c>
      <c r="B73" s="113" t="s">
        <v>1685</v>
      </c>
      <c r="C73" s="114">
        <v>81</v>
      </c>
      <c r="D73" s="114">
        <v>1080</v>
      </c>
      <c r="E73" t="str">
        <f t="shared" si="1"/>
        <v>Credera India Digital | MarTech - L6 / E2-S1 | Principal Architect</v>
      </c>
    </row>
    <row r="74" spans="1:5" x14ac:dyDescent="0.3">
      <c r="A74" s="113" t="s">
        <v>661</v>
      </c>
      <c r="B74" s="113" t="s">
        <v>3214</v>
      </c>
      <c r="C74" s="114">
        <v>13</v>
      </c>
      <c r="D74" s="114">
        <v>288</v>
      </c>
      <c r="E74" t="str">
        <f t="shared" si="1"/>
        <v>Credera India Digital | Premium MarTech - L2 / B1-B2 | Associate Engineer</v>
      </c>
    </row>
    <row r="75" spans="1:5" x14ac:dyDescent="0.3">
      <c r="A75" s="113" t="s">
        <v>661</v>
      </c>
      <c r="B75" s="113" t="s">
        <v>3215</v>
      </c>
      <c r="C75" s="114">
        <v>24</v>
      </c>
      <c r="D75" s="114">
        <v>520</v>
      </c>
      <c r="E75" t="str">
        <f t="shared" si="1"/>
        <v>Credera India Digital | Premium MarTech - L2 / B1-B2 | Engineer</v>
      </c>
    </row>
    <row r="76" spans="1:5" x14ac:dyDescent="0.3">
      <c r="A76" s="113" t="s">
        <v>661</v>
      </c>
      <c r="B76" s="113" t="s">
        <v>1681</v>
      </c>
      <c r="C76" s="114">
        <v>43</v>
      </c>
      <c r="D76" s="114">
        <v>768</v>
      </c>
      <c r="E76" t="str">
        <f t="shared" si="1"/>
        <v>Credera India Digital | Premium MarTech - L3 / C1-C2 | Senior Engineer</v>
      </c>
    </row>
    <row r="77" spans="1:5" x14ac:dyDescent="0.3">
      <c r="A77" s="113" t="s">
        <v>661</v>
      </c>
      <c r="B77" s="113" t="s">
        <v>1682</v>
      </c>
      <c r="C77" s="114">
        <v>56</v>
      </c>
      <c r="D77" s="114">
        <v>936</v>
      </c>
      <c r="E77" t="str">
        <f t="shared" si="1"/>
        <v>Credera India Digital | Premium MarTech - L3 / C1-C2 | Lead Engineer</v>
      </c>
    </row>
    <row r="78" spans="1:5" x14ac:dyDescent="0.3">
      <c r="A78" s="113" t="s">
        <v>661</v>
      </c>
      <c r="B78" s="113" t="s">
        <v>1683</v>
      </c>
      <c r="C78" s="114">
        <v>69</v>
      </c>
      <c r="D78" s="114">
        <v>1104</v>
      </c>
      <c r="E78" t="str">
        <f t="shared" si="1"/>
        <v>Credera India Digital | Premium MarTech - L4 / D1 | Architect</v>
      </c>
    </row>
    <row r="79" spans="1:5" x14ac:dyDescent="0.3">
      <c r="A79" s="113" t="s">
        <v>661</v>
      </c>
      <c r="B79" s="113" t="s">
        <v>1684</v>
      </c>
      <c r="C79" s="114">
        <v>81</v>
      </c>
      <c r="D79" s="114">
        <v>1184</v>
      </c>
      <c r="E79" t="str">
        <f t="shared" si="1"/>
        <v>Credera India Digital | Premium MarTech - L5 / D2-E1 | Senior Architect</v>
      </c>
    </row>
    <row r="80" spans="1:5" x14ac:dyDescent="0.3">
      <c r="A80" s="113" t="s">
        <v>661</v>
      </c>
      <c r="B80" s="113" t="s">
        <v>1685</v>
      </c>
      <c r="C80" s="114">
        <v>99</v>
      </c>
      <c r="D80" s="114">
        <v>1320</v>
      </c>
      <c r="E80" t="str">
        <f t="shared" si="1"/>
        <v>Credera India Digital | Premium MarTech - L6 / E2-S1 | Principal Architect</v>
      </c>
    </row>
    <row r="81" spans="1:5" x14ac:dyDescent="0.3">
      <c r="A81" s="113" t="s">
        <v>662</v>
      </c>
      <c r="B81" s="113" t="s">
        <v>628</v>
      </c>
      <c r="C81" s="114">
        <v>0</v>
      </c>
      <c r="D81" s="114">
        <v>0</v>
      </c>
      <c r="E81" t="str">
        <f t="shared" si="1"/>
        <v>Credera LATAM Business Enablement - C | Corporate Staff</v>
      </c>
    </row>
    <row r="82" spans="1:5" x14ac:dyDescent="0.3">
      <c r="A82" s="113" t="s">
        <v>663</v>
      </c>
      <c r="B82" s="113" t="s">
        <v>3214</v>
      </c>
      <c r="C82" s="114">
        <v>45</v>
      </c>
      <c r="D82" s="114">
        <v>960</v>
      </c>
      <c r="E82" t="str">
        <f t="shared" si="1"/>
        <v>Credera LATAM Consulting | Cloud &amp; Engineering - L2 / B1-B2 | Associate Engineer</v>
      </c>
    </row>
    <row r="83" spans="1:5" x14ac:dyDescent="0.3">
      <c r="A83" s="113" t="s">
        <v>663</v>
      </c>
      <c r="B83" s="113" t="s">
        <v>3215</v>
      </c>
      <c r="C83" s="114">
        <v>45</v>
      </c>
      <c r="D83" s="114">
        <v>960</v>
      </c>
      <c r="E83" t="str">
        <f t="shared" si="1"/>
        <v>Credera LATAM Consulting | Cloud &amp; Engineering - L2 / B1-B2 | Engineer</v>
      </c>
    </row>
    <row r="84" spans="1:5" x14ac:dyDescent="0.3">
      <c r="A84" s="113" t="s">
        <v>663</v>
      </c>
      <c r="B84" s="113" t="s">
        <v>1681</v>
      </c>
      <c r="C84" s="114">
        <v>45</v>
      </c>
      <c r="D84" s="114">
        <v>960</v>
      </c>
      <c r="E84" t="str">
        <f t="shared" si="1"/>
        <v>Credera LATAM Consulting | Cloud &amp; Engineering - L3 / C1-C2 | Senior Engineer</v>
      </c>
    </row>
    <row r="85" spans="1:5" x14ac:dyDescent="0.3">
      <c r="A85" s="113" t="s">
        <v>663</v>
      </c>
      <c r="B85" s="113" t="s">
        <v>1682</v>
      </c>
      <c r="C85" s="114">
        <v>45</v>
      </c>
      <c r="D85" s="114">
        <v>960</v>
      </c>
      <c r="E85" t="str">
        <f t="shared" si="1"/>
        <v>Credera LATAM Consulting | Cloud &amp; Engineering - L3 / C1-C2 | Lead Engineer</v>
      </c>
    </row>
    <row r="86" spans="1:5" x14ac:dyDescent="0.3">
      <c r="A86" s="113" t="s">
        <v>663</v>
      </c>
      <c r="B86" s="113" t="s">
        <v>1683</v>
      </c>
      <c r="C86" s="114">
        <v>60</v>
      </c>
      <c r="D86" s="114">
        <v>1072</v>
      </c>
      <c r="E86" t="str">
        <f t="shared" si="1"/>
        <v>Credera LATAM Consulting | Cloud &amp; Engineering - L4 / D1 | Architect</v>
      </c>
    </row>
    <row r="87" spans="1:5" x14ac:dyDescent="0.3">
      <c r="A87" s="113" t="s">
        <v>663</v>
      </c>
      <c r="B87" s="113" t="s">
        <v>1684</v>
      </c>
      <c r="C87" s="114">
        <v>70</v>
      </c>
      <c r="D87" s="114">
        <v>1120</v>
      </c>
      <c r="E87" t="str">
        <f t="shared" si="1"/>
        <v>Credera LATAM Consulting | Cloud &amp; Engineering - L5 / D2-E1 | Senior Architect</v>
      </c>
    </row>
    <row r="88" spans="1:5" x14ac:dyDescent="0.3">
      <c r="A88" s="113" t="s">
        <v>663</v>
      </c>
      <c r="B88" s="113" t="s">
        <v>1685</v>
      </c>
      <c r="C88" s="114">
        <v>85</v>
      </c>
      <c r="D88" s="114">
        <v>1240</v>
      </c>
      <c r="E88" t="str">
        <f t="shared" ref="E88:E151" si="2">CONCATENATE(A88," - ",B88)</f>
        <v>Credera LATAM Consulting | Cloud &amp; Engineering - L6 / E2-S1 | Principal Architect</v>
      </c>
    </row>
    <row r="89" spans="1:5" x14ac:dyDescent="0.3">
      <c r="A89" s="113" t="s">
        <v>664</v>
      </c>
      <c r="B89" s="113" t="s">
        <v>3214</v>
      </c>
      <c r="C89" s="114">
        <v>45</v>
      </c>
      <c r="D89" s="114">
        <v>960</v>
      </c>
      <c r="E89" t="str">
        <f t="shared" si="2"/>
        <v>Credera LATAM Consulting | Data &amp; AI - L2 / B1-B2 | Associate Engineer</v>
      </c>
    </row>
    <row r="90" spans="1:5" x14ac:dyDescent="0.3">
      <c r="A90" s="113" t="s">
        <v>664</v>
      </c>
      <c r="B90" s="113" t="s">
        <v>3215</v>
      </c>
      <c r="C90" s="114">
        <v>45</v>
      </c>
      <c r="D90" s="114">
        <v>960</v>
      </c>
      <c r="E90" t="str">
        <f t="shared" si="2"/>
        <v>Credera LATAM Consulting | Data &amp; AI - L2 / B1-B2 | Engineer</v>
      </c>
    </row>
    <row r="91" spans="1:5" x14ac:dyDescent="0.3">
      <c r="A91" s="113" t="s">
        <v>664</v>
      </c>
      <c r="B91" s="113" t="s">
        <v>1681</v>
      </c>
      <c r="C91" s="114">
        <v>45</v>
      </c>
      <c r="D91" s="114">
        <v>960</v>
      </c>
      <c r="E91" t="str">
        <f t="shared" si="2"/>
        <v>Credera LATAM Consulting | Data &amp; AI - L3 / C1-C2 | Senior Engineer</v>
      </c>
    </row>
    <row r="92" spans="1:5" x14ac:dyDescent="0.3">
      <c r="A92" s="113" t="s">
        <v>664</v>
      </c>
      <c r="B92" s="113" t="s">
        <v>1682</v>
      </c>
      <c r="C92" s="114">
        <v>45</v>
      </c>
      <c r="D92" s="114">
        <v>960</v>
      </c>
      <c r="E92" t="str">
        <f t="shared" si="2"/>
        <v>Credera LATAM Consulting | Data &amp; AI - L3 / C1-C2 | Lead Engineer</v>
      </c>
    </row>
    <row r="93" spans="1:5" x14ac:dyDescent="0.3">
      <c r="A93" s="113" t="s">
        <v>664</v>
      </c>
      <c r="B93" s="113" t="s">
        <v>1683</v>
      </c>
      <c r="C93" s="114">
        <v>60</v>
      </c>
      <c r="D93" s="114">
        <v>1072</v>
      </c>
      <c r="E93" t="str">
        <f t="shared" si="2"/>
        <v>Credera LATAM Consulting | Data &amp; AI - L4 / D1 | Architect</v>
      </c>
    </row>
    <row r="94" spans="1:5" x14ac:dyDescent="0.3">
      <c r="A94" s="113" t="s">
        <v>664</v>
      </c>
      <c r="B94" s="113" t="s">
        <v>1684</v>
      </c>
      <c r="C94" s="114">
        <v>70</v>
      </c>
      <c r="D94" s="114">
        <v>1120</v>
      </c>
      <c r="E94" t="str">
        <f t="shared" si="2"/>
        <v>Credera LATAM Consulting | Data &amp; AI - L5 / D2-E1 | Senior Architect</v>
      </c>
    </row>
    <row r="95" spans="1:5" x14ac:dyDescent="0.3">
      <c r="A95" s="113" t="s">
        <v>664</v>
      </c>
      <c r="B95" s="113" t="s">
        <v>1685</v>
      </c>
      <c r="C95" s="114">
        <v>85</v>
      </c>
      <c r="D95" s="114">
        <v>1240</v>
      </c>
      <c r="E95" t="str">
        <f t="shared" si="2"/>
        <v>Credera LATAM Consulting | Data &amp; AI - L6 / E2-S1 | Principal Architect</v>
      </c>
    </row>
    <row r="96" spans="1:5" x14ac:dyDescent="0.3">
      <c r="A96" s="113" t="s">
        <v>665</v>
      </c>
      <c r="B96" s="113" t="s">
        <v>3221</v>
      </c>
      <c r="C96" s="114">
        <v>45</v>
      </c>
      <c r="D96" s="114">
        <v>976</v>
      </c>
      <c r="E96" t="str">
        <f t="shared" si="2"/>
        <v>Credera LATAM Consulting | Management Consulting - L2 / B1-B2 | Business Analyst</v>
      </c>
    </row>
    <row r="97" spans="1:5" x14ac:dyDescent="0.3">
      <c r="A97" s="113" t="s">
        <v>665</v>
      </c>
      <c r="B97" s="113" t="s">
        <v>1714</v>
      </c>
      <c r="C97" s="114">
        <v>50</v>
      </c>
      <c r="D97" s="114">
        <v>1088</v>
      </c>
      <c r="E97" t="str">
        <f t="shared" si="2"/>
        <v>Credera LATAM Consulting | Management Consulting - L3 / C1-C2 | Sr Business Analyst</v>
      </c>
    </row>
    <row r="98" spans="1:5" x14ac:dyDescent="0.3">
      <c r="A98" s="113" t="s">
        <v>665</v>
      </c>
      <c r="B98" s="113" t="s">
        <v>1699</v>
      </c>
      <c r="C98" s="114">
        <v>50</v>
      </c>
      <c r="D98" s="114">
        <v>1088</v>
      </c>
      <c r="E98" t="str">
        <f t="shared" si="2"/>
        <v>Credera LATAM Consulting | Management Consulting - L3 / C1-C2 | Scrum Master</v>
      </c>
    </row>
    <row r="99" spans="1:5" x14ac:dyDescent="0.3">
      <c r="A99" s="113" t="s">
        <v>665</v>
      </c>
      <c r="B99" s="113" t="s">
        <v>1715</v>
      </c>
      <c r="C99" s="114">
        <v>55</v>
      </c>
      <c r="D99" s="114">
        <v>1104</v>
      </c>
      <c r="E99" t="str">
        <f t="shared" si="2"/>
        <v>Credera LATAM Consulting | Management Consulting - L4 / D1 | Senior Scrum Master</v>
      </c>
    </row>
    <row r="100" spans="1:5" x14ac:dyDescent="0.3">
      <c r="A100" s="113" t="s">
        <v>665</v>
      </c>
      <c r="B100" s="113" t="s">
        <v>1716</v>
      </c>
      <c r="C100" s="114">
        <v>50</v>
      </c>
      <c r="D100" s="114">
        <v>1088</v>
      </c>
      <c r="E100" t="str">
        <f t="shared" si="2"/>
        <v>Credera LATAM Consulting | Management Consulting - L3 / C1-C2 | Project Manager</v>
      </c>
    </row>
    <row r="101" spans="1:5" x14ac:dyDescent="0.3">
      <c r="A101" s="113" t="s">
        <v>665</v>
      </c>
      <c r="B101" s="113" t="s">
        <v>1717</v>
      </c>
      <c r="C101" s="114">
        <v>55</v>
      </c>
      <c r="D101" s="114">
        <v>1104</v>
      </c>
      <c r="E101" t="str">
        <f t="shared" si="2"/>
        <v>Credera LATAM Consulting | Management Consulting - L4 / D1 | Senior Project Manager</v>
      </c>
    </row>
    <row r="102" spans="1:5" x14ac:dyDescent="0.3">
      <c r="A102" s="113" t="s">
        <v>671</v>
      </c>
      <c r="B102" s="113" t="s">
        <v>3220</v>
      </c>
      <c r="C102" s="114">
        <v>45</v>
      </c>
      <c r="D102" s="114">
        <v>960</v>
      </c>
      <c r="E102" t="str">
        <f t="shared" si="2"/>
        <v>Credera LATAM Consulting | Quality Assurance - L2 / B1-B2 | Associate QA Engineer</v>
      </c>
    </row>
    <row r="103" spans="1:5" x14ac:dyDescent="0.3">
      <c r="A103" s="113" t="s">
        <v>671</v>
      </c>
      <c r="B103" s="113" t="s">
        <v>2474</v>
      </c>
      <c r="C103" s="114">
        <v>45</v>
      </c>
      <c r="D103" s="114">
        <v>960</v>
      </c>
      <c r="E103" t="str">
        <f t="shared" si="2"/>
        <v>Credera LATAM Consulting | Quality Assurance - L2 / B1-B2 | QA Engineer</v>
      </c>
    </row>
    <row r="104" spans="1:5" x14ac:dyDescent="0.3">
      <c r="A104" s="113" t="s">
        <v>671</v>
      </c>
      <c r="B104" s="113" t="s">
        <v>1709</v>
      </c>
      <c r="C104" s="114">
        <v>45</v>
      </c>
      <c r="D104" s="114">
        <v>960</v>
      </c>
      <c r="E104" t="str">
        <f t="shared" si="2"/>
        <v>Credera LATAM Consulting | Quality Assurance - L3 / C1-C2 | Senior QA Engineer</v>
      </c>
    </row>
    <row r="105" spans="1:5" x14ac:dyDescent="0.3">
      <c r="A105" s="113" t="s">
        <v>671</v>
      </c>
      <c r="B105" s="113" t="s">
        <v>1710</v>
      </c>
      <c r="C105" s="114">
        <v>45</v>
      </c>
      <c r="D105" s="114">
        <v>960</v>
      </c>
      <c r="E105" t="str">
        <f t="shared" si="2"/>
        <v>Credera LATAM Consulting | Quality Assurance - L3 / C1-C2 | Lead QA Engineer</v>
      </c>
    </row>
    <row r="106" spans="1:5" x14ac:dyDescent="0.3">
      <c r="A106" s="113" t="s">
        <v>671</v>
      </c>
      <c r="B106" s="113" t="s">
        <v>1711</v>
      </c>
      <c r="C106" s="114">
        <v>60</v>
      </c>
      <c r="D106" s="114">
        <v>1072</v>
      </c>
      <c r="E106" t="str">
        <f t="shared" si="2"/>
        <v>Credera LATAM Consulting | Quality Assurance - L4 / D1 | QA Architect</v>
      </c>
    </row>
    <row r="107" spans="1:5" x14ac:dyDescent="0.3">
      <c r="A107" s="113" t="s">
        <v>671</v>
      </c>
      <c r="B107" s="113" t="s">
        <v>1712</v>
      </c>
      <c r="C107" s="114">
        <v>70</v>
      </c>
      <c r="D107" s="114">
        <v>1120</v>
      </c>
      <c r="E107" t="str">
        <f t="shared" si="2"/>
        <v>Credera LATAM Consulting | Quality Assurance - L5 / D2-E1 | Senior QA Architect</v>
      </c>
    </row>
    <row r="108" spans="1:5" x14ac:dyDescent="0.3">
      <c r="A108" s="113" t="s">
        <v>671</v>
      </c>
      <c r="B108" s="113" t="s">
        <v>1713</v>
      </c>
      <c r="C108" s="114">
        <v>85</v>
      </c>
      <c r="D108" s="114">
        <v>1240</v>
      </c>
      <c r="E108" t="str">
        <f t="shared" si="2"/>
        <v>Credera LATAM Consulting | Quality Assurance - L6 / E2-S1 | Principal QA Architect</v>
      </c>
    </row>
    <row r="109" spans="1:5" x14ac:dyDescent="0.3">
      <c r="A109" s="113" t="s">
        <v>206</v>
      </c>
      <c r="B109" s="113" t="s">
        <v>672</v>
      </c>
      <c r="C109" s="114">
        <v>0</v>
      </c>
      <c r="D109" s="114">
        <v>0</v>
      </c>
      <c r="E109" t="str">
        <f t="shared" si="2"/>
        <v>Credera UK - E0 | Engineer</v>
      </c>
    </row>
    <row r="110" spans="1:5" x14ac:dyDescent="0.3">
      <c r="A110" s="113" t="s">
        <v>206</v>
      </c>
      <c r="B110" s="113" t="s">
        <v>673</v>
      </c>
      <c r="C110" s="114">
        <v>0</v>
      </c>
      <c r="D110" s="114">
        <v>0</v>
      </c>
      <c r="E110" t="str">
        <f t="shared" si="2"/>
        <v>Credera UK - E1 | Engineer</v>
      </c>
    </row>
    <row r="111" spans="1:5" x14ac:dyDescent="0.3">
      <c r="A111" s="113" t="s">
        <v>206</v>
      </c>
      <c r="B111" s="113" t="s">
        <v>674</v>
      </c>
      <c r="C111" s="114">
        <v>0</v>
      </c>
      <c r="D111" s="114">
        <v>0</v>
      </c>
      <c r="E111" t="str">
        <f t="shared" si="2"/>
        <v>Credera UK - E2 | Engineer</v>
      </c>
    </row>
    <row r="112" spans="1:5" x14ac:dyDescent="0.3">
      <c r="A112" s="113" t="s">
        <v>206</v>
      </c>
      <c r="B112" s="113" t="s">
        <v>675</v>
      </c>
      <c r="C112" s="114">
        <v>0</v>
      </c>
      <c r="D112" s="114">
        <v>0</v>
      </c>
      <c r="E112" t="str">
        <f t="shared" si="2"/>
        <v>Credera UK - E3 | Engineer</v>
      </c>
    </row>
    <row r="113" spans="1:5" x14ac:dyDescent="0.3">
      <c r="A113" s="113" t="s">
        <v>206</v>
      </c>
      <c r="B113" s="113" t="s">
        <v>676</v>
      </c>
      <c r="C113" s="114">
        <v>0</v>
      </c>
      <c r="D113" s="114">
        <v>0</v>
      </c>
      <c r="E113" t="str">
        <f t="shared" si="2"/>
        <v>Credera UK - E4 | Engineer</v>
      </c>
    </row>
    <row r="114" spans="1:5" x14ac:dyDescent="0.3">
      <c r="A114" s="113" t="s">
        <v>206</v>
      </c>
      <c r="B114" s="113" t="s">
        <v>677</v>
      </c>
      <c r="C114" s="114">
        <v>0</v>
      </c>
      <c r="D114" s="114">
        <v>0</v>
      </c>
      <c r="E114" t="str">
        <f t="shared" si="2"/>
        <v>Credera UK - E5 | Principal Engineer</v>
      </c>
    </row>
    <row r="115" spans="1:5" x14ac:dyDescent="0.3">
      <c r="A115" s="113" t="s">
        <v>206</v>
      </c>
      <c r="B115" s="113" t="s">
        <v>678</v>
      </c>
      <c r="C115" s="114">
        <v>0</v>
      </c>
      <c r="D115" s="114">
        <v>0</v>
      </c>
      <c r="E115" t="str">
        <f t="shared" si="2"/>
        <v>Credera UK - C0 | Analyst</v>
      </c>
    </row>
    <row r="116" spans="1:5" x14ac:dyDescent="0.3">
      <c r="A116" s="113" t="s">
        <v>206</v>
      </c>
      <c r="B116" s="113" t="s">
        <v>679</v>
      </c>
      <c r="C116" s="114">
        <v>0</v>
      </c>
      <c r="D116" s="114">
        <v>0</v>
      </c>
      <c r="E116" t="str">
        <f t="shared" si="2"/>
        <v>Credera UK - C1 | Consultant</v>
      </c>
    </row>
    <row r="117" spans="1:5" x14ac:dyDescent="0.3">
      <c r="A117" s="113" t="s">
        <v>206</v>
      </c>
      <c r="B117" s="113" t="s">
        <v>680</v>
      </c>
      <c r="C117" s="114">
        <v>0</v>
      </c>
      <c r="D117" s="114">
        <v>0</v>
      </c>
      <c r="E117" t="str">
        <f t="shared" si="2"/>
        <v>Credera UK - C2 | Senior Consultant</v>
      </c>
    </row>
    <row r="118" spans="1:5" x14ac:dyDescent="0.3">
      <c r="A118" s="113" t="s">
        <v>206</v>
      </c>
      <c r="B118" s="113" t="s">
        <v>681</v>
      </c>
      <c r="C118" s="114">
        <v>0</v>
      </c>
      <c r="D118" s="114">
        <v>0</v>
      </c>
      <c r="E118" t="str">
        <f t="shared" si="2"/>
        <v>Credera UK - MC3 | Managing Consultant</v>
      </c>
    </row>
    <row r="119" spans="1:5" x14ac:dyDescent="0.3">
      <c r="A119" s="113" t="s">
        <v>206</v>
      </c>
      <c r="B119" s="113" t="s">
        <v>682</v>
      </c>
      <c r="C119" s="114">
        <v>0</v>
      </c>
      <c r="D119" s="114">
        <v>0</v>
      </c>
      <c r="E119" t="str">
        <f t="shared" si="2"/>
        <v>Credera UK - MC4 | Managing Consultant</v>
      </c>
    </row>
    <row r="120" spans="1:5" x14ac:dyDescent="0.3">
      <c r="A120" s="113" t="s">
        <v>206</v>
      </c>
      <c r="B120" s="113" t="s">
        <v>683</v>
      </c>
      <c r="C120" s="114">
        <v>0</v>
      </c>
      <c r="D120" s="114">
        <v>0</v>
      </c>
      <c r="E120" t="str">
        <f t="shared" si="2"/>
        <v>Credera UK - MC5 | Managing Consultant</v>
      </c>
    </row>
    <row r="121" spans="1:5" x14ac:dyDescent="0.3">
      <c r="A121" s="113" t="s">
        <v>206</v>
      </c>
      <c r="B121" s="113" t="s">
        <v>684</v>
      </c>
      <c r="C121" s="114">
        <v>0</v>
      </c>
      <c r="D121" s="114">
        <v>0</v>
      </c>
      <c r="E121" t="str">
        <f t="shared" si="2"/>
        <v>Credera UK - PR6 | Principal</v>
      </c>
    </row>
    <row r="122" spans="1:5" x14ac:dyDescent="0.3">
      <c r="A122" s="113" t="s">
        <v>206</v>
      </c>
      <c r="B122" s="113" t="s">
        <v>685</v>
      </c>
      <c r="C122" s="114">
        <v>0</v>
      </c>
      <c r="D122" s="114">
        <v>0</v>
      </c>
      <c r="E122" t="str">
        <f t="shared" si="2"/>
        <v>Credera UK - DR1 | Director</v>
      </c>
    </row>
    <row r="123" spans="1:5" x14ac:dyDescent="0.3">
      <c r="A123" s="113" t="s">
        <v>206</v>
      </c>
      <c r="B123" s="113" t="s">
        <v>686</v>
      </c>
      <c r="C123" s="114">
        <v>0</v>
      </c>
      <c r="D123" s="114">
        <v>0</v>
      </c>
      <c r="E123" t="str">
        <f t="shared" si="2"/>
        <v>Credera UK - DR2 | Managing Director</v>
      </c>
    </row>
    <row r="124" spans="1:5" x14ac:dyDescent="0.3">
      <c r="A124" s="113" t="s">
        <v>206</v>
      </c>
      <c r="B124" s="113" t="s">
        <v>687</v>
      </c>
      <c r="C124" s="114">
        <v>0</v>
      </c>
      <c r="D124" s="114">
        <v>0</v>
      </c>
      <c r="E124" t="str">
        <f t="shared" si="2"/>
        <v>Credera UK - DR3 | Managing Director</v>
      </c>
    </row>
    <row r="125" spans="1:5" x14ac:dyDescent="0.3">
      <c r="A125" s="113" t="s">
        <v>206</v>
      </c>
      <c r="B125" s="113" t="s">
        <v>688</v>
      </c>
      <c r="C125" s="114">
        <v>0</v>
      </c>
      <c r="D125" s="114">
        <v>0</v>
      </c>
      <c r="E125" t="str">
        <f t="shared" si="2"/>
        <v>Credera UK - ED | Executive Director</v>
      </c>
    </row>
    <row r="126" spans="1:5" x14ac:dyDescent="0.3">
      <c r="A126" s="113" t="s">
        <v>206</v>
      </c>
      <c r="B126" s="113" t="s">
        <v>689</v>
      </c>
      <c r="C126" s="114">
        <v>0</v>
      </c>
      <c r="D126" s="114">
        <v>0</v>
      </c>
      <c r="E126" t="str">
        <f t="shared" si="2"/>
        <v>Credera UK - 00 | Unknown UK Title</v>
      </c>
    </row>
    <row r="127" spans="1:5" x14ac:dyDescent="0.3">
      <c r="A127" s="113" t="s">
        <v>690</v>
      </c>
      <c r="B127" s="113" t="s">
        <v>628</v>
      </c>
      <c r="C127" s="114">
        <v>0</v>
      </c>
      <c r="D127" s="114">
        <v>0</v>
      </c>
      <c r="E127" t="str">
        <f t="shared" si="2"/>
        <v>Credera US Business Enablement - C | Corporate Staff</v>
      </c>
    </row>
    <row r="128" spans="1:5" x14ac:dyDescent="0.3">
      <c r="A128" s="113" t="s">
        <v>691</v>
      </c>
      <c r="B128" s="113" t="s">
        <v>692</v>
      </c>
      <c r="C128" s="114">
        <v>0</v>
      </c>
      <c r="D128" s="114">
        <v>0</v>
      </c>
      <c r="E128" t="str">
        <f t="shared" si="2"/>
        <v>Credera US Consulting - 0 | Contractor</v>
      </c>
    </row>
    <row r="129" spans="1:6" x14ac:dyDescent="0.3">
      <c r="A129" s="113" t="s">
        <v>691</v>
      </c>
      <c r="B129" s="113" t="s">
        <v>1718</v>
      </c>
      <c r="C129" s="114">
        <v>65</v>
      </c>
      <c r="D129" s="114">
        <v>720</v>
      </c>
      <c r="E129" t="str">
        <f t="shared" si="2"/>
        <v>Credera US Consulting - L0 / A1 | Intern</v>
      </c>
      <c r="F129">
        <v>0</v>
      </c>
    </row>
    <row r="130" spans="1:6" x14ac:dyDescent="0.3">
      <c r="A130" s="113" t="s">
        <v>691</v>
      </c>
      <c r="B130" s="113" t="s">
        <v>1719</v>
      </c>
      <c r="C130" s="114">
        <v>72</v>
      </c>
      <c r="D130" s="114">
        <v>1560</v>
      </c>
      <c r="E130" t="str">
        <f t="shared" si="2"/>
        <v>Credera US Consulting - L1 / A2-A3 | Analyst</v>
      </c>
      <c r="F130">
        <v>1</v>
      </c>
    </row>
    <row r="131" spans="1:6" x14ac:dyDescent="0.3">
      <c r="A131" s="113" t="s">
        <v>691</v>
      </c>
      <c r="B131" s="113" t="s">
        <v>3219</v>
      </c>
      <c r="C131" s="114">
        <v>77</v>
      </c>
      <c r="D131" s="114">
        <v>1600</v>
      </c>
      <c r="E131" t="str">
        <f t="shared" si="2"/>
        <v>Credera US Consulting - L2 / B1-B2 | Consultant</v>
      </c>
      <c r="F131">
        <v>2</v>
      </c>
    </row>
    <row r="132" spans="1:6" x14ac:dyDescent="0.3">
      <c r="A132" s="113" t="s">
        <v>691</v>
      </c>
      <c r="B132" s="113" t="s">
        <v>1705</v>
      </c>
      <c r="C132" s="114">
        <v>96</v>
      </c>
      <c r="D132" s="114">
        <v>1920</v>
      </c>
      <c r="E132" t="str">
        <f t="shared" si="2"/>
        <v>Credera US Consulting - L3 / C1-C2 | Senior Consultant</v>
      </c>
      <c r="F132">
        <v>3</v>
      </c>
    </row>
    <row r="133" spans="1:6" x14ac:dyDescent="0.3">
      <c r="A133" s="113" t="s">
        <v>691</v>
      </c>
      <c r="B133" s="113" t="s">
        <v>1683</v>
      </c>
      <c r="C133" s="114">
        <v>128</v>
      </c>
      <c r="D133" s="114">
        <v>2400</v>
      </c>
      <c r="E133" t="str">
        <f t="shared" si="2"/>
        <v>Credera US Consulting - L4 / D1 | Architect</v>
      </c>
      <c r="F133">
        <v>4</v>
      </c>
    </row>
    <row r="134" spans="1:6" x14ac:dyDescent="0.3">
      <c r="A134" s="113" t="s">
        <v>691</v>
      </c>
      <c r="B134" s="113" t="s">
        <v>1706</v>
      </c>
      <c r="C134" s="114">
        <v>128</v>
      </c>
      <c r="D134" s="114">
        <v>2400</v>
      </c>
      <c r="E134" t="str">
        <f t="shared" si="2"/>
        <v>Credera US Consulting - L4 / D1 | Manager</v>
      </c>
      <c r="F134">
        <v>4</v>
      </c>
    </row>
    <row r="135" spans="1:6" x14ac:dyDescent="0.3">
      <c r="A135" s="113" t="s">
        <v>691</v>
      </c>
      <c r="B135" s="113" t="s">
        <v>1684</v>
      </c>
      <c r="C135" s="114">
        <v>172</v>
      </c>
      <c r="D135" s="114">
        <v>2800</v>
      </c>
      <c r="E135" t="str">
        <f t="shared" si="2"/>
        <v>Credera US Consulting - L5 / D2-E1 | Senior Architect</v>
      </c>
      <c r="F135">
        <v>5</v>
      </c>
    </row>
    <row r="136" spans="1:6" x14ac:dyDescent="0.3">
      <c r="A136" s="113" t="s">
        <v>691</v>
      </c>
      <c r="B136" s="113" t="s">
        <v>1707</v>
      </c>
      <c r="C136" s="114">
        <v>172</v>
      </c>
      <c r="D136" s="114">
        <v>2800</v>
      </c>
      <c r="E136" t="str">
        <f t="shared" si="2"/>
        <v>Credera US Consulting - L5 / D2-E1 | Senior Manager</v>
      </c>
      <c r="F136">
        <v>5</v>
      </c>
    </row>
    <row r="137" spans="1:6" x14ac:dyDescent="0.3">
      <c r="A137" s="113" t="s">
        <v>691</v>
      </c>
      <c r="B137" s="113" t="s">
        <v>1685</v>
      </c>
      <c r="C137" s="114">
        <v>257</v>
      </c>
      <c r="D137" s="114">
        <v>3120</v>
      </c>
      <c r="E137" t="str">
        <f t="shared" si="2"/>
        <v>Credera US Consulting - L6 / E2-S1 | Principal Architect</v>
      </c>
      <c r="F137">
        <v>6</v>
      </c>
    </row>
    <row r="138" spans="1:6" x14ac:dyDescent="0.3">
      <c r="A138" s="113" t="s">
        <v>691</v>
      </c>
      <c r="B138" s="113" t="s">
        <v>1708</v>
      </c>
      <c r="C138" s="114">
        <v>257</v>
      </c>
      <c r="D138" s="114">
        <v>3120</v>
      </c>
      <c r="E138" t="str">
        <f t="shared" si="2"/>
        <v>Credera US Consulting - L6 / E2-S1 | Principal</v>
      </c>
      <c r="F138">
        <v>6</v>
      </c>
    </row>
    <row r="139" spans="1:6" x14ac:dyDescent="0.3">
      <c r="A139" s="113" t="s">
        <v>694</v>
      </c>
      <c r="B139" s="113" t="s">
        <v>692</v>
      </c>
      <c r="C139" s="114">
        <v>0</v>
      </c>
      <c r="D139" s="114">
        <v>0</v>
      </c>
      <c r="E139" t="str">
        <f t="shared" si="2"/>
        <v>Credera US Digital - 0 | Contractor</v>
      </c>
    </row>
    <row r="140" spans="1:6" x14ac:dyDescent="0.3">
      <c r="A140" s="113" t="s">
        <v>694</v>
      </c>
      <c r="B140" s="113" t="s">
        <v>1718</v>
      </c>
      <c r="C140" s="114">
        <v>65</v>
      </c>
      <c r="D140" s="114">
        <v>720</v>
      </c>
      <c r="E140" t="str">
        <f t="shared" si="2"/>
        <v>Credera US Digital - L0 / A1 | Intern</v>
      </c>
      <c r="F140">
        <v>0</v>
      </c>
    </row>
    <row r="141" spans="1:6" x14ac:dyDescent="0.3">
      <c r="A141" s="113" t="s">
        <v>694</v>
      </c>
      <c r="B141" s="113" t="s">
        <v>1719</v>
      </c>
      <c r="C141" s="114">
        <v>72</v>
      </c>
      <c r="D141" s="114">
        <v>1560</v>
      </c>
      <c r="E141" t="str">
        <f t="shared" si="2"/>
        <v>Credera US Digital - L1 / A2-A3 | Analyst</v>
      </c>
      <c r="F141">
        <v>1</v>
      </c>
    </row>
    <row r="142" spans="1:6" x14ac:dyDescent="0.3">
      <c r="A142" s="113" t="s">
        <v>694</v>
      </c>
      <c r="B142" s="113" t="s">
        <v>3219</v>
      </c>
      <c r="C142" s="114">
        <v>77</v>
      </c>
      <c r="D142" s="114">
        <v>1600</v>
      </c>
      <c r="E142" t="str">
        <f t="shared" si="2"/>
        <v>Credera US Digital - L2 / B1-B2 | Consultant</v>
      </c>
      <c r="F142">
        <v>2</v>
      </c>
    </row>
    <row r="143" spans="1:6" x14ac:dyDescent="0.3">
      <c r="A143" s="113" t="s">
        <v>694</v>
      </c>
      <c r="B143" s="113" t="s">
        <v>1705</v>
      </c>
      <c r="C143" s="114">
        <v>96</v>
      </c>
      <c r="D143" s="114">
        <v>1920</v>
      </c>
      <c r="E143" t="str">
        <f t="shared" si="2"/>
        <v>Credera US Digital - L3 / C1-C2 | Senior Consultant</v>
      </c>
      <c r="F143">
        <v>3</v>
      </c>
    </row>
    <row r="144" spans="1:6" x14ac:dyDescent="0.3">
      <c r="A144" s="113" t="s">
        <v>694</v>
      </c>
      <c r="B144" s="113" t="s">
        <v>1683</v>
      </c>
      <c r="C144" s="114">
        <v>128</v>
      </c>
      <c r="D144" s="114">
        <v>2400</v>
      </c>
      <c r="E144" t="str">
        <f t="shared" si="2"/>
        <v>Credera US Digital - L4 / D1 | Architect</v>
      </c>
      <c r="F144">
        <v>4</v>
      </c>
    </row>
    <row r="145" spans="1:6" x14ac:dyDescent="0.3">
      <c r="A145" s="113" t="s">
        <v>694</v>
      </c>
      <c r="B145" s="113" t="s">
        <v>1706</v>
      </c>
      <c r="C145" s="114">
        <v>128</v>
      </c>
      <c r="D145" s="114">
        <v>2400</v>
      </c>
      <c r="E145" t="str">
        <f t="shared" si="2"/>
        <v>Credera US Digital - L4 / D1 | Manager</v>
      </c>
      <c r="F145">
        <v>4</v>
      </c>
    </row>
    <row r="146" spans="1:6" x14ac:dyDescent="0.3">
      <c r="A146" s="113" t="s">
        <v>694</v>
      </c>
      <c r="B146" s="113" t="s">
        <v>1684</v>
      </c>
      <c r="C146" s="114">
        <v>172</v>
      </c>
      <c r="D146" s="114">
        <v>2800</v>
      </c>
      <c r="E146" t="str">
        <f t="shared" si="2"/>
        <v>Credera US Digital - L5 / D2-E1 | Senior Architect</v>
      </c>
      <c r="F146">
        <v>5</v>
      </c>
    </row>
    <row r="147" spans="1:6" x14ac:dyDescent="0.3">
      <c r="A147" s="113" t="s">
        <v>694</v>
      </c>
      <c r="B147" s="113" t="s">
        <v>1707</v>
      </c>
      <c r="C147" s="114">
        <v>172</v>
      </c>
      <c r="D147" s="114">
        <v>2800</v>
      </c>
      <c r="E147" t="str">
        <f t="shared" si="2"/>
        <v>Credera US Digital - L5 / D2-E1 | Senior Manager</v>
      </c>
      <c r="F147">
        <v>5</v>
      </c>
    </row>
    <row r="148" spans="1:6" x14ac:dyDescent="0.3">
      <c r="A148" s="113" t="s">
        <v>694</v>
      </c>
      <c r="B148" s="113" t="s">
        <v>1685</v>
      </c>
      <c r="C148" s="114">
        <v>257</v>
      </c>
      <c r="D148" s="114">
        <v>3120</v>
      </c>
      <c r="E148" t="str">
        <f t="shared" si="2"/>
        <v>Credera US Digital - L6 / E2-S1 | Principal Architect</v>
      </c>
      <c r="F148">
        <v>6</v>
      </c>
    </row>
    <row r="149" spans="1:6" x14ac:dyDescent="0.3">
      <c r="A149" s="113" t="s">
        <v>694</v>
      </c>
      <c r="B149" s="113" t="s">
        <v>1708</v>
      </c>
      <c r="C149" s="114">
        <v>257</v>
      </c>
      <c r="D149" s="114">
        <v>3120</v>
      </c>
      <c r="E149" t="str">
        <f t="shared" si="2"/>
        <v>Credera US Digital - L6 / E2-S1 | Principal</v>
      </c>
      <c r="F149">
        <v>6</v>
      </c>
    </row>
    <row r="150" spans="1:6" x14ac:dyDescent="0.3">
      <c r="A150" s="113" t="s">
        <v>695</v>
      </c>
      <c r="B150" s="113" t="s">
        <v>1720</v>
      </c>
      <c r="C150" s="114">
        <v>289</v>
      </c>
      <c r="D150" s="114">
        <v>3720</v>
      </c>
      <c r="E150" t="str">
        <f t="shared" si="2"/>
        <v>Credera US Partner - L7 / S2-EX3 | Partner</v>
      </c>
      <c r="F150">
        <v>7</v>
      </c>
    </row>
    <row r="151" spans="1:6" x14ac:dyDescent="0.3">
      <c r="A151" s="113" t="s">
        <v>695</v>
      </c>
      <c r="B151" s="113" t="s">
        <v>1721</v>
      </c>
      <c r="C151" s="114">
        <v>289</v>
      </c>
      <c r="D151" s="114">
        <v>3720</v>
      </c>
      <c r="E151" t="str">
        <f t="shared" si="2"/>
        <v>Credera US Partner - L7 / S2-EX3 | Corporate Executive</v>
      </c>
      <c r="F151">
        <v>7</v>
      </c>
    </row>
    <row r="152" spans="1:6" x14ac:dyDescent="0.3">
      <c r="A152" s="113" t="s">
        <v>695</v>
      </c>
      <c r="B152" s="113" t="s">
        <v>1722</v>
      </c>
      <c r="C152" s="114">
        <v>289</v>
      </c>
      <c r="D152" s="114">
        <v>3720</v>
      </c>
      <c r="E152" t="str">
        <f t="shared" ref="E152:E215" si="3">CONCATENATE(A152," - ",B152)</f>
        <v>Credera US Partner - L7 / S2-EX3 | Partner &amp; Chief Data Scientist</v>
      </c>
      <c r="F152">
        <v>7</v>
      </c>
    </row>
    <row r="153" spans="1:6" x14ac:dyDescent="0.3">
      <c r="A153" s="113" t="s">
        <v>695</v>
      </c>
      <c r="B153" s="113" t="s">
        <v>1723</v>
      </c>
      <c r="C153" s="114">
        <v>289</v>
      </c>
      <c r="D153" s="114">
        <v>3720</v>
      </c>
      <c r="E153" t="str">
        <f t="shared" si="3"/>
        <v>Credera US Partner - L7 / S2-EX3 | Partner &amp; Chief Diversity Officer</v>
      </c>
      <c r="F153">
        <v>7</v>
      </c>
    </row>
    <row r="154" spans="1:6" x14ac:dyDescent="0.3">
      <c r="A154" s="113" t="s">
        <v>695</v>
      </c>
      <c r="B154" s="113" t="s">
        <v>1724</v>
      </c>
      <c r="C154" s="114">
        <v>289</v>
      </c>
      <c r="D154" s="114">
        <v>3720</v>
      </c>
      <c r="E154" t="str">
        <f t="shared" si="3"/>
        <v>Credera US Partner - L7 / S2-EX3 | Partner &amp; Chief Technology Officer</v>
      </c>
      <c r="F154">
        <v>7</v>
      </c>
    </row>
    <row r="155" spans="1:6" x14ac:dyDescent="0.3">
      <c r="A155" s="113" t="s">
        <v>695</v>
      </c>
      <c r="B155" s="113" t="s">
        <v>1725</v>
      </c>
      <c r="C155" s="114">
        <v>289</v>
      </c>
      <c r="D155" s="114">
        <v>3720</v>
      </c>
      <c r="E155" t="str">
        <f t="shared" si="3"/>
        <v>Credera US Partner - L7 / S2-EX3 | Global COO</v>
      </c>
      <c r="F155">
        <v>7</v>
      </c>
    </row>
    <row r="156" spans="1:6" x14ac:dyDescent="0.3">
      <c r="A156" s="113" t="s">
        <v>695</v>
      </c>
      <c r="B156" s="113" t="s">
        <v>1726</v>
      </c>
      <c r="C156" s="114">
        <v>289</v>
      </c>
      <c r="D156" s="114">
        <v>3720</v>
      </c>
      <c r="E156" t="str">
        <f t="shared" si="3"/>
        <v>Credera US Partner - L7 / S2-EX3 | Global Chief People Officer</v>
      </c>
      <c r="F156">
        <v>7</v>
      </c>
    </row>
    <row r="157" spans="1:6" x14ac:dyDescent="0.3">
      <c r="A157" s="113" t="s">
        <v>695</v>
      </c>
      <c r="B157" s="113" t="s">
        <v>1727</v>
      </c>
      <c r="C157" s="114">
        <v>289</v>
      </c>
      <c r="D157" s="114">
        <v>3720</v>
      </c>
      <c r="E157" t="str">
        <f t="shared" si="3"/>
        <v>Credera US Partner - L7 / S2-EX3 | Global CFO</v>
      </c>
      <c r="F157">
        <v>7</v>
      </c>
    </row>
    <row r="158" spans="1:6" x14ac:dyDescent="0.3">
      <c r="A158" s="113" t="s">
        <v>695</v>
      </c>
      <c r="B158" s="113" t="s">
        <v>1728</v>
      </c>
      <c r="C158" s="114">
        <v>289</v>
      </c>
      <c r="D158" s="114">
        <v>3720</v>
      </c>
      <c r="E158" t="str">
        <f t="shared" si="3"/>
        <v>Credera US Partner - L7 / S2-EX3 | US Chief Operations Officer</v>
      </c>
      <c r="F158">
        <v>7</v>
      </c>
    </row>
    <row r="159" spans="1:6" x14ac:dyDescent="0.3">
      <c r="A159" s="113" t="s">
        <v>695</v>
      </c>
      <c r="B159" s="113" t="s">
        <v>1729</v>
      </c>
      <c r="C159" s="114">
        <v>289</v>
      </c>
      <c r="D159" s="114">
        <v>3720</v>
      </c>
      <c r="E159" t="str">
        <f t="shared" si="3"/>
        <v>Credera US Partner - L7 / S2-EX3 | President &amp; CEO</v>
      </c>
      <c r="F159">
        <v>7</v>
      </c>
    </row>
    <row r="160" spans="1:6" x14ac:dyDescent="0.3">
      <c r="A160" s="113" t="s">
        <v>695</v>
      </c>
      <c r="B160" s="113" t="s">
        <v>1730</v>
      </c>
      <c r="C160" s="114">
        <v>289</v>
      </c>
      <c r="D160" s="114">
        <v>3720</v>
      </c>
      <c r="E160" t="str">
        <f t="shared" si="3"/>
        <v>Credera US Partner - L7 / S2-EX3 | Global Chief Growth Officer</v>
      </c>
      <c r="F160">
        <v>7</v>
      </c>
    </row>
    <row r="161" spans="1:6" x14ac:dyDescent="0.3">
      <c r="A161" s="113" t="s">
        <v>695</v>
      </c>
      <c r="B161" s="113" t="s">
        <v>1731</v>
      </c>
      <c r="C161" s="114">
        <v>289</v>
      </c>
      <c r="D161" s="114">
        <v>3720</v>
      </c>
      <c r="E161" t="str">
        <f t="shared" si="3"/>
        <v>Credera US Partner - L7 / S2-EX3 | Partner &amp; Chief Innovation Officer</v>
      </c>
      <c r="F161">
        <v>7</v>
      </c>
    </row>
    <row r="162" spans="1:6" x14ac:dyDescent="0.3">
      <c r="A162" s="113" t="s">
        <v>695</v>
      </c>
      <c r="B162" s="113" t="s">
        <v>1732</v>
      </c>
      <c r="C162" s="114">
        <v>289</v>
      </c>
      <c r="D162" s="114">
        <v>3720</v>
      </c>
      <c r="E162" t="str">
        <f t="shared" si="3"/>
        <v>Credera US Partner - L7 / S2-EX3 | Partner &amp; Chief Digital Officer</v>
      </c>
      <c r="F162">
        <v>7</v>
      </c>
    </row>
    <row r="163" spans="1:6" x14ac:dyDescent="0.3">
      <c r="A163" s="113" t="s">
        <v>695</v>
      </c>
      <c r="B163" s="113" t="s">
        <v>1733</v>
      </c>
      <c r="C163" s="114">
        <v>289</v>
      </c>
      <c r="D163" s="114">
        <v>3720</v>
      </c>
      <c r="E163" t="str">
        <f t="shared" si="3"/>
        <v>Credera US Partner - L7 / S2-EX3 | CEO, Asia Pacific</v>
      </c>
      <c r="F163">
        <v>7</v>
      </c>
    </row>
    <row r="164" spans="1:6" x14ac:dyDescent="0.3">
      <c r="A164" s="113" t="s">
        <v>695</v>
      </c>
      <c r="B164" s="113" t="s">
        <v>1734</v>
      </c>
      <c r="C164" s="114">
        <v>289</v>
      </c>
      <c r="D164" s="114">
        <v>3720</v>
      </c>
      <c r="E164" t="str">
        <f t="shared" si="3"/>
        <v>Credera US Partner - L7 / S2-EX3 | Partner &amp; Global Digital Lead</v>
      </c>
      <c r="F164">
        <v>7</v>
      </c>
    </row>
    <row r="165" spans="1:6" x14ac:dyDescent="0.3">
      <c r="A165" s="113" t="s">
        <v>706</v>
      </c>
      <c r="B165" s="113" t="s">
        <v>707</v>
      </c>
      <c r="C165" s="114">
        <v>0</v>
      </c>
      <c r="D165" s="114">
        <v>0</v>
      </c>
      <c r="E165" t="str">
        <f t="shared" si="3"/>
        <v>LeapPoint - LeapPoint Resource</v>
      </c>
    </row>
    <row r="166" spans="1:6" x14ac:dyDescent="0.3">
      <c r="A166" s="113" t="s">
        <v>708</v>
      </c>
      <c r="B166" s="113" t="s">
        <v>709</v>
      </c>
      <c r="C166" s="114">
        <v>0</v>
      </c>
      <c r="D166" s="114">
        <v>0</v>
      </c>
      <c r="E166" t="str">
        <f t="shared" si="3"/>
        <v>Other Intercompany - OMC Resource</v>
      </c>
    </row>
    <row r="167" spans="1:6" x14ac:dyDescent="0.3">
      <c r="A167" s="113" t="s">
        <v>710</v>
      </c>
      <c r="B167" s="113" t="s">
        <v>628</v>
      </c>
      <c r="C167" s="114">
        <v>0</v>
      </c>
      <c r="D167" s="114">
        <v>0</v>
      </c>
      <c r="E167" t="str">
        <f t="shared" si="3"/>
        <v>TADigital Business Enablement - C | Corporate Staff</v>
      </c>
    </row>
    <row r="168" spans="1:6" x14ac:dyDescent="0.3">
      <c r="A168" s="113" t="s">
        <v>711</v>
      </c>
      <c r="B168" s="113" t="s">
        <v>1679</v>
      </c>
      <c r="C168" s="114">
        <v>13</v>
      </c>
      <c r="D168" s="114">
        <v>288</v>
      </c>
      <c r="E168" t="str">
        <f t="shared" si="3"/>
        <v>TADigital India Consulting | Cloud &amp; Engineering - L2 / B1-B3 | Associate Engineer</v>
      </c>
    </row>
    <row r="169" spans="1:6" x14ac:dyDescent="0.3">
      <c r="A169" s="113" t="s">
        <v>711</v>
      </c>
      <c r="B169" s="113" t="s">
        <v>1680</v>
      </c>
      <c r="C169" s="114">
        <v>21</v>
      </c>
      <c r="D169" s="114">
        <v>456</v>
      </c>
      <c r="E169" t="str">
        <f t="shared" si="3"/>
        <v>TADigital India Consulting | Cloud &amp; Engineering - L2 / B1-B3 | Engineer</v>
      </c>
    </row>
    <row r="170" spans="1:6" x14ac:dyDescent="0.3">
      <c r="A170" s="113" t="s">
        <v>711</v>
      </c>
      <c r="B170" s="113" t="s">
        <v>1681</v>
      </c>
      <c r="C170" s="114">
        <v>39</v>
      </c>
      <c r="D170" s="114">
        <v>696</v>
      </c>
      <c r="E170" t="str">
        <f t="shared" si="3"/>
        <v>TADigital India Consulting | Cloud &amp; Engineering - L3 / C1-C2 | Senior Engineer</v>
      </c>
    </row>
    <row r="171" spans="1:6" x14ac:dyDescent="0.3">
      <c r="A171" s="113" t="s">
        <v>711</v>
      </c>
      <c r="B171" s="113" t="s">
        <v>1682</v>
      </c>
      <c r="C171" s="114">
        <v>49</v>
      </c>
      <c r="D171" s="114">
        <v>824</v>
      </c>
      <c r="E171" t="str">
        <f t="shared" si="3"/>
        <v>TADigital India Consulting | Cloud &amp; Engineering - L3 / C1-C2 | Lead Engineer</v>
      </c>
    </row>
    <row r="172" spans="1:6" x14ac:dyDescent="0.3">
      <c r="A172" s="113" t="s">
        <v>711</v>
      </c>
      <c r="B172" s="113" t="s">
        <v>1683</v>
      </c>
      <c r="C172" s="114">
        <v>60</v>
      </c>
      <c r="D172" s="114">
        <v>960</v>
      </c>
      <c r="E172" t="str">
        <f t="shared" si="3"/>
        <v>TADigital India Consulting | Cloud &amp; Engineering - L4 / D1 | Architect</v>
      </c>
    </row>
    <row r="173" spans="1:6" x14ac:dyDescent="0.3">
      <c r="A173" s="113" t="s">
        <v>711</v>
      </c>
      <c r="B173" s="113" t="s">
        <v>1684</v>
      </c>
      <c r="C173" s="114">
        <v>81</v>
      </c>
      <c r="D173" s="114">
        <v>1184</v>
      </c>
      <c r="E173" t="str">
        <f t="shared" si="3"/>
        <v>TADigital India Consulting | Cloud &amp; Engineering - L5 / D2-E1 | Senior Architect</v>
      </c>
    </row>
    <row r="174" spans="1:6" x14ac:dyDescent="0.3">
      <c r="A174" s="113" t="s">
        <v>711</v>
      </c>
      <c r="B174" s="113" t="s">
        <v>1685</v>
      </c>
      <c r="C174" s="114">
        <v>99</v>
      </c>
      <c r="D174" s="114">
        <v>1320</v>
      </c>
      <c r="E174" t="str">
        <f t="shared" si="3"/>
        <v>TADigital India Consulting | Cloud &amp; Engineering - L6 / E2-S1 | Principal Architect</v>
      </c>
    </row>
    <row r="175" spans="1:6" x14ac:dyDescent="0.3">
      <c r="A175" s="113" t="s">
        <v>712</v>
      </c>
      <c r="B175" s="113" t="s">
        <v>1686</v>
      </c>
      <c r="C175" s="114">
        <v>11</v>
      </c>
      <c r="D175" s="114">
        <v>240</v>
      </c>
      <c r="E175" t="str">
        <f t="shared" si="3"/>
        <v>TADigital India Consulting | Content - L2 / B1-B3 | Associate Content Engineer</v>
      </c>
    </row>
    <row r="176" spans="1:6" x14ac:dyDescent="0.3">
      <c r="A176" s="113" t="s">
        <v>712</v>
      </c>
      <c r="B176" s="113" t="s">
        <v>1687</v>
      </c>
      <c r="C176" s="114">
        <v>18</v>
      </c>
      <c r="D176" s="114">
        <v>392</v>
      </c>
      <c r="E176" t="str">
        <f t="shared" si="3"/>
        <v>TADigital India Consulting | Content - L2 / B1-B3 | Content Engineer</v>
      </c>
    </row>
    <row r="177" spans="1:5" x14ac:dyDescent="0.3">
      <c r="A177" s="113" t="s">
        <v>712</v>
      </c>
      <c r="B177" s="113" t="s">
        <v>1688</v>
      </c>
      <c r="C177" s="114">
        <v>25</v>
      </c>
      <c r="D177" s="114">
        <v>448</v>
      </c>
      <c r="E177" t="str">
        <f t="shared" si="3"/>
        <v>TADigital India Consulting | Content - L3 / C1-C2 | Senior Content Engineer</v>
      </c>
    </row>
    <row r="178" spans="1:5" x14ac:dyDescent="0.3">
      <c r="A178" s="113" t="s">
        <v>712</v>
      </c>
      <c r="B178" s="113" t="s">
        <v>1689</v>
      </c>
      <c r="C178" s="114">
        <v>33</v>
      </c>
      <c r="D178" s="114">
        <v>552</v>
      </c>
      <c r="E178" t="str">
        <f t="shared" si="3"/>
        <v>TADigital India Consulting | Content - L3 / C1-C2 | Lead Content Engineer</v>
      </c>
    </row>
    <row r="179" spans="1:5" x14ac:dyDescent="0.3">
      <c r="A179" s="113" t="s">
        <v>713</v>
      </c>
      <c r="B179" s="113" t="s">
        <v>1679</v>
      </c>
      <c r="C179" s="114">
        <v>13</v>
      </c>
      <c r="D179" s="114">
        <v>288</v>
      </c>
      <c r="E179" t="str">
        <f t="shared" si="3"/>
        <v>TADigital India Consulting | Data &amp; AI - L2 / B1-B3 | Associate Engineer</v>
      </c>
    </row>
    <row r="180" spans="1:5" x14ac:dyDescent="0.3">
      <c r="A180" s="113" t="s">
        <v>713</v>
      </c>
      <c r="B180" s="113" t="s">
        <v>1680</v>
      </c>
      <c r="C180" s="114">
        <v>23</v>
      </c>
      <c r="D180" s="114">
        <v>504</v>
      </c>
      <c r="E180" t="str">
        <f t="shared" si="3"/>
        <v>TADigital India Consulting | Data &amp; AI - L2 / B1-B3 | Engineer</v>
      </c>
    </row>
    <row r="181" spans="1:5" x14ac:dyDescent="0.3">
      <c r="A181" s="113" t="s">
        <v>713</v>
      </c>
      <c r="B181" s="113" t="s">
        <v>1681</v>
      </c>
      <c r="C181" s="114">
        <v>43</v>
      </c>
      <c r="D181" s="114">
        <v>768</v>
      </c>
      <c r="E181" t="str">
        <f t="shared" si="3"/>
        <v>TADigital India Consulting | Data &amp; AI - L3 / C1-C2 | Senior Engineer</v>
      </c>
    </row>
    <row r="182" spans="1:5" x14ac:dyDescent="0.3">
      <c r="A182" s="113" t="s">
        <v>713</v>
      </c>
      <c r="B182" s="113" t="s">
        <v>1682</v>
      </c>
      <c r="C182" s="114">
        <v>53</v>
      </c>
      <c r="D182" s="114">
        <v>888</v>
      </c>
      <c r="E182" t="str">
        <f t="shared" si="3"/>
        <v>TADigital India Consulting | Data &amp; AI - L3 / C1-C2 | Lead Engineer</v>
      </c>
    </row>
    <row r="183" spans="1:5" x14ac:dyDescent="0.3">
      <c r="A183" s="113" t="s">
        <v>713</v>
      </c>
      <c r="B183" s="113" t="s">
        <v>1683</v>
      </c>
      <c r="C183" s="114">
        <v>60</v>
      </c>
      <c r="D183" s="114">
        <v>960</v>
      </c>
      <c r="E183" t="str">
        <f t="shared" si="3"/>
        <v>TADigital India Consulting | Data &amp; AI - L4 / D1 | Architect</v>
      </c>
    </row>
    <row r="184" spans="1:5" x14ac:dyDescent="0.3">
      <c r="A184" s="113" t="s">
        <v>713</v>
      </c>
      <c r="B184" s="113" t="s">
        <v>1684</v>
      </c>
      <c r="C184" s="114">
        <v>81</v>
      </c>
      <c r="D184" s="114">
        <v>1184</v>
      </c>
      <c r="E184" t="str">
        <f t="shared" si="3"/>
        <v>TADigital India Consulting | Data &amp; AI - L5 / D2-E1 | Senior Architect</v>
      </c>
    </row>
    <row r="185" spans="1:5" x14ac:dyDescent="0.3">
      <c r="A185" s="113" t="s">
        <v>713</v>
      </c>
      <c r="B185" s="113" t="s">
        <v>1685</v>
      </c>
      <c r="C185" s="114">
        <v>99</v>
      </c>
      <c r="D185" s="114">
        <v>1320</v>
      </c>
      <c r="E185" t="str">
        <f t="shared" si="3"/>
        <v>TADigital India Consulting | Data &amp; AI - L6 / E2-S1 | Principal Architect</v>
      </c>
    </row>
    <row r="186" spans="1:5" x14ac:dyDescent="0.3">
      <c r="A186" s="113" t="s">
        <v>714</v>
      </c>
      <c r="B186" s="113" t="s">
        <v>1690</v>
      </c>
      <c r="C186" s="114">
        <v>13</v>
      </c>
      <c r="D186" s="114">
        <v>288</v>
      </c>
      <c r="E186" t="str">
        <f t="shared" si="3"/>
        <v>TADigital India Consulting | Experience Design - L2 / B1-B3 | Strategist</v>
      </c>
    </row>
    <row r="187" spans="1:5" x14ac:dyDescent="0.3">
      <c r="A187" s="113" t="s">
        <v>714</v>
      </c>
      <c r="B187" s="113" t="s">
        <v>1691</v>
      </c>
      <c r="C187" s="114">
        <v>27</v>
      </c>
      <c r="D187" s="114">
        <v>584</v>
      </c>
      <c r="E187" t="str">
        <f t="shared" si="3"/>
        <v>TADigital India Consulting | Experience Design - L3 / C1-C2 | Senior Strategist</v>
      </c>
    </row>
    <row r="188" spans="1:5" x14ac:dyDescent="0.3">
      <c r="A188" s="113" t="s">
        <v>714</v>
      </c>
      <c r="B188" s="113" t="s">
        <v>1692</v>
      </c>
      <c r="C188" s="114">
        <v>41</v>
      </c>
      <c r="D188" s="114">
        <v>688</v>
      </c>
      <c r="E188" t="str">
        <f t="shared" si="3"/>
        <v>TADigital India Consulting | Experience Design - L4 / D1 | Strategy Manager</v>
      </c>
    </row>
    <row r="189" spans="1:5" x14ac:dyDescent="0.3">
      <c r="A189" s="113" t="s">
        <v>714</v>
      </c>
      <c r="B189" s="113" t="s">
        <v>1693</v>
      </c>
      <c r="C189" s="114">
        <v>13</v>
      </c>
      <c r="D189" s="114">
        <v>288</v>
      </c>
      <c r="E189" t="str">
        <f t="shared" si="3"/>
        <v>TADigital India Consulting | Experience Design - L2 / B1-B3 | Designer</v>
      </c>
    </row>
    <row r="190" spans="1:5" x14ac:dyDescent="0.3">
      <c r="A190" s="113" t="s">
        <v>714</v>
      </c>
      <c r="B190" s="113" t="s">
        <v>1694</v>
      </c>
      <c r="C190" s="114">
        <v>22</v>
      </c>
      <c r="D190" s="114">
        <v>424</v>
      </c>
      <c r="E190" t="str">
        <f t="shared" si="3"/>
        <v>TADigital India Consulting | Experience Design - L3 / C1-C2 | Senior Designer</v>
      </c>
    </row>
    <row r="191" spans="1:5" x14ac:dyDescent="0.3">
      <c r="A191" s="113" t="s">
        <v>714</v>
      </c>
      <c r="B191" s="113" t="s">
        <v>1695</v>
      </c>
      <c r="C191" s="114">
        <v>39</v>
      </c>
      <c r="D191" s="114">
        <v>656</v>
      </c>
      <c r="E191" t="str">
        <f t="shared" si="3"/>
        <v>TADigital India Consulting | Experience Design - L4 / D1 | Associate Design Director</v>
      </c>
    </row>
    <row r="192" spans="1:5" x14ac:dyDescent="0.3">
      <c r="A192" s="113" t="s">
        <v>714</v>
      </c>
      <c r="B192" s="113" t="s">
        <v>1696</v>
      </c>
      <c r="C192" s="114">
        <v>53</v>
      </c>
      <c r="D192" s="114">
        <v>848</v>
      </c>
      <c r="E192" t="str">
        <f t="shared" si="3"/>
        <v>TADigital India Consulting | Experience Design - L5 / D2-E1 | Lead Design Director</v>
      </c>
    </row>
    <row r="193" spans="1:5" x14ac:dyDescent="0.3">
      <c r="A193" s="113" t="s">
        <v>714</v>
      </c>
      <c r="B193" s="113" t="s">
        <v>1697</v>
      </c>
      <c r="C193" s="114">
        <v>63</v>
      </c>
      <c r="D193" s="114">
        <v>1008</v>
      </c>
      <c r="E193" t="str">
        <f t="shared" si="3"/>
        <v>TADigital India Consulting | Experience Design - L5 / D2-E1 | Principal Design Director</v>
      </c>
    </row>
    <row r="194" spans="1:5" x14ac:dyDescent="0.3">
      <c r="A194" s="113" t="s">
        <v>714</v>
      </c>
      <c r="B194" s="113" t="s">
        <v>1698</v>
      </c>
      <c r="C194" s="114">
        <v>81</v>
      </c>
      <c r="D194" s="114">
        <v>1296</v>
      </c>
      <c r="E194" t="str">
        <f t="shared" si="3"/>
        <v>TADigital India Consulting | Experience Design - L6 / E2-S1 | Director</v>
      </c>
    </row>
    <row r="195" spans="1:5" x14ac:dyDescent="0.3">
      <c r="A195" s="113" t="s">
        <v>715</v>
      </c>
      <c r="B195" s="113" t="s">
        <v>1699</v>
      </c>
      <c r="C195" s="114">
        <v>32</v>
      </c>
      <c r="D195" s="114">
        <v>536</v>
      </c>
      <c r="E195" t="str">
        <f t="shared" si="3"/>
        <v>TADigital India Consulting | Management Consulting - L3 / C1-C2 | Scrum Master</v>
      </c>
    </row>
    <row r="196" spans="1:5" x14ac:dyDescent="0.3">
      <c r="A196" s="113" t="s">
        <v>715</v>
      </c>
      <c r="B196" s="113" t="s">
        <v>1700</v>
      </c>
      <c r="C196" s="114">
        <v>41</v>
      </c>
      <c r="D196" s="114">
        <v>656</v>
      </c>
      <c r="E196" t="str">
        <f t="shared" si="3"/>
        <v>TADigital India Consulting | Management Consulting - L5 / D2-E1 | Senior Scrum Master</v>
      </c>
    </row>
    <row r="197" spans="1:5" x14ac:dyDescent="0.3">
      <c r="A197" s="113" t="s">
        <v>715</v>
      </c>
      <c r="B197" s="113" t="s">
        <v>1701</v>
      </c>
      <c r="C197" s="114">
        <v>49</v>
      </c>
      <c r="D197" s="114">
        <v>784</v>
      </c>
      <c r="E197" t="str">
        <f t="shared" si="3"/>
        <v>TADigital India Consulting | Management Consulting - L4 / D1 | Project Manager</v>
      </c>
    </row>
    <row r="198" spans="1:5" x14ac:dyDescent="0.3">
      <c r="A198" s="113" t="s">
        <v>715</v>
      </c>
      <c r="B198" s="113" t="s">
        <v>1702</v>
      </c>
      <c r="C198" s="114">
        <v>53</v>
      </c>
      <c r="D198" s="114">
        <v>848</v>
      </c>
      <c r="E198" t="str">
        <f t="shared" si="3"/>
        <v>TADigital India Consulting | Management Consulting - L5 / D2-E1 | Senior Project Manager</v>
      </c>
    </row>
    <row r="199" spans="1:5" x14ac:dyDescent="0.3">
      <c r="A199" s="113" t="s">
        <v>715</v>
      </c>
      <c r="B199" s="113" t="s">
        <v>1703</v>
      </c>
      <c r="C199" s="114">
        <v>65</v>
      </c>
      <c r="D199" s="114">
        <v>1040</v>
      </c>
      <c r="E199" t="str">
        <f t="shared" si="3"/>
        <v>TADigital India Consulting | Management Consulting - L6 / E2-S1 | Delivery Manager</v>
      </c>
    </row>
    <row r="200" spans="1:5" x14ac:dyDescent="0.3">
      <c r="A200" s="113" t="s">
        <v>715</v>
      </c>
      <c r="B200" s="113" t="s">
        <v>1704</v>
      </c>
      <c r="C200" s="114">
        <v>26</v>
      </c>
      <c r="D200" s="114">
        <v>568</v>
      </c>
      <c r="E200" t="str">
        <f t="shared" si="3"/>
        <v>TADigital India Consulting | Management Consulting - L2 / B1-B3 | Consultant</v>
      </c>
    </row>
    <row r="201" spans="1:5" x14ac:dyDescent="0.3">
      <c r="A201" s="113" t="s">
        <v>715</v>
      </c>
      <c r="B201" s="113" t="s">
        <v>1705</v>
      </c>
      <c r="C201" s="114">
        <v>33</v>
      </c>
      <c r="D201" s="114">
        <v>632</v>
      </c>
      <c r="E201" t="str">
        <f t="shared" si="3"/>
        <v>TADigital India Consulting | Management Consulting - L3 / C1-C2 | Senior Consultant</v>
      </c>
    </row>
    <row r="202" spans="1:5" x14ac:dyDescent="0.3">
      <c r="A202" s="113" t="s">
        <v>715</v>
      </c>
      <c r="B202" s="113" t="s">
        <v>1706</v>
      </c>
      <c r="C202" s="114">
        <v>49</v>
      </c>
      <c r="D202" s="114">
        <v>824</v>
      </c>
      <c r="E202" t="str">
        <f t="shared" si="3"/>
        <v>TADigital India Consulting | Management Consulting - L4 / D1 | Manager</v>
      </c>
    </row>
    <row r="203" spans="1:5" x14ac:dyDescent="0.3">
      <c r="A203" s="113" t="s">
        <v>715</v>
      </c>
      <c r="B203" s="113" t="s">
        <v>1707</v>
      </c>
      <c r="C203" s="114">
        <v>53</v>
      </c>
      <c r="D203" s="114">
        <v>848</v>
      </c>
      <c r="E203" t="str">
        <f t="shared" si="3"/>
        <v>TADigital India Consulting | Management Consulting - L5 / D2-E1 | Senior Manager</v>
      </c>
    </row>
    <row r="204" spans="1:5" x14ac:dyDescent="0.3">
      <c r="A204" s="113" t="s">
        <v>715</v>
      </c>
      <c r="B204" s="113" t="s">
        <v>1708</v>
      </c>
      <c r="C204" s="114">
        <v>65</v>
      </c>
      <c r="D204" s="114">
        <v>1040</v>
      </c>
      <c r="E204" t="str">
        <f t="shared" si="3"/>
        <v>TADigital India Consulting | Management Consulting - L6 / E2-S1 | Principal</v>
      </c>
    </row>
    <row r="205" spans="1:5" x14ac:dyDescent="0.3">
      <c r="A205" s="113" t="s">
        <v>716</v>
      </c>
      <c r="B205" s="113" t="s">
        <v>3220</v>
      </c>
      <c r="C205" s="114">
        <v>11</v>
      </c>
      <c r="D205" s="114">
        <v>240</v>
      </c>
      <c r="E205" t="str">
        <f t="shared" si="3"/>
        <v>TADigital India Consulting | Quality Assurance - L2 / B1-B2 | Associate QA Engineer</v>
      </c>
    </row>
    <row r="206" spans="1:5" x14ac:dyDescent="0.3">
      <c r="A206" s="113" t="s">
        <v>716</v>
      </c>
      <c r="B206" s="113" t="s">
        <v>2474</v>
      </c>
      <c r="C206" s="114">
        <v>18</v>
      </c>
      <c r="D206" s="114">
        <v>392</v>
      </c>
      <c r="E206" t="str">
        <f t="shared" si="3"/>
        <v>TADigital India Consulting | Quality Assurance - L2 / B1-B2 | QA Engineer</v>
      </c>
    </row>
    <row r="207" spans="1:5" x14ac:dyDescent="0.3">
      <c r="A207" s="113" t="s">
        <v>716</v>
      </c>
      <c r="B207" s="113" t="s">
        <v>1709</v>
      </c>
      <c r="C207" s="114">
        <v>25</v>
      </c>
      <c r="D207" s="114">
        <v>448</v>
      </c>
      <c r="E207" t="str">
        <f t="shared" si="3"/>
        <v>TADigital India Consulting | Quality Assurance - L3 / C1-C2 | Senior QA Engineer</v>
      </c>
    </row>
    <row r="208" spans="1:5" x14ac:dyDescent="0.3">
      <c r="A208" s="113" t="s">
        <v>716</v>
      </c>
      <c r="B208" s="113" t="s">
        <v>1710</v>
      </c>
      <c r="C208" s="114">
        <v>33</v>
      </c>
      <c r="D208" s="114">
        <v>552</v>
      </c>
      <c r="E208" t="str">
        <f t="shared" si="3"/>
        <v>TADigital India Consulting | Quality Assurance - L3 / C1-C2 | Lead QA Engineer</v>
      </c>
    </row>
    <row r="209" spans="1:5" x14ac:dyDescent="0.3">
      <c r="A209" s="113" t="s">
        <v>716</v>
      </c>
      <c r="B209" s="113" t="s">
        <v>1711</v>
      </c>
      <c r="C209" s="114">
        <v>39</v>
      </c>
      <c r="D209" s="114">
        <v>624</v>
      </c>
      <c r="E209" t="str">
        <f t="shared" si="3"/>
        <v>TADigital India Consulting | Quality Assurance - L4 / D1 | QA Architect</v>
      </c>
    </row>
    <row r="210" spans="1:5" x14ac:dyDescent="0.3">
      <c r="A210" s="113" t="s">
        <v>716</v>
      </c>
      <c r="B210" s="113" t="s">
        <v>1712</v>
      </c>
      <c r="C210" s="114">
        <v>51</v>
      </c>
      <c r="D210" s="114">
        <v>744</v>
      </c>
      <c r="E210" t="str">
        <f t="shared" si="3"/>
        <v>TADigital India Consulting | Quality Assurance - L5 / D2-E1 | Senior QA Architect</v>
      </c>
    </row>
    <row r="211" spans="1:5" x14ac:dyDescent="0.3">
      <c r="A211" s="113" t="s">
        <v>716</v>
      </c>
      <c r="B211" s="113" t="s">
        <v>1713</v>
      </c>
      <c r="C211" s="114">
        <v>63</v>
      </c>
      <c r="D211" s="114">
        <v>840</v>
      </c>
      <c r="E211" t="str">
        <f t="shared" si="3"/>
        <v>TADigital India Consulting | Quality Assurance - L6 / E2-S1 | Principal QA Architect</v>
      </c>
    </row>
    <row r="212" spans="1:5" x14ac:dyDescent="0.3">
      <c r="A212" s="113" t="s">
        <v>717</v>
      </c>
      <c r="B212" s="113" t="s">
        <v>3214</v>
      </c>
      <c r="C212" s="114">
        <v>13</v>
      </c>
      <c r="D212" s="114">
        <v>288</v>
      </c>
      <c r="E212" t="str">
        <f t="shared" si="3"/>
        <v>TADigital India Digital | MarTech - L2 / B1-B2 | Associate Engineer</v>
      </c>
    </row>
    <row r="213" spans="1:5" x14ac:dyDescent="0.3">
      <c r="A213" s="113" t="s">
        <v>717</v>
      </c>
      <c r="B213" s="113" t="s">
        <v>3215</v>
      </c>
      <c r="C213" s="114">
        <v>20</v>
      </c>
      <c r="D213" s="114">
        <v>440</v>
      </c>
      <c r="E213" t="str">
        <f t="shared" si="3"/>
        <v>TADigital India Digital | MarTech - L2 / B1-B2 | Engineer</v>
      </c>
    </row>
    <row r="214" spans="1:5" x14ac:dyDescent="0.3">
      <c r="A214" s="113" t="s">
        <v>717</v>
      </c>
      <c r="B214" s="113" t="s">
        <v>1681</v>
      </c>
      <c r="C214" s="114">
        <v>35</v>
      </c>
      <c r="D214" s="114">
        <v>624</v>
      </c>
      <c r="E214" t="str">
        <f t="shared" si="3"/>
        <v>TADigital India Digital | MarTech - L3 / C1-C2 | Senior Engineer</v>
      </c>
    </row>
    <row r="215" spans="1:5" x14ac:dyDescent="0.3">
      <c r="A215" s="113" t="s">
        <v>717</v>
      </c>
      <c r="B215" s="113" t="s">
        <v>1682</v>
      </c>
      <c r="C215" s="114">
        <v>45</v>
      </c>
      <c r="D215" s="114">
        <v>752</v>
      </c>
      <c r="E215" t="str">
        <f t="shared" si="3"/>
        <v>TADigital India Digital | MarTech - L3 / C1-C2 | Lead Engineer</v>
      </c>
    </row>
    <row r="216" spans="1:5" x14ac:dyDescent="0.3">
      <c r="A216" s="113" t="s">
        <v>717</v>
      </c>
      <c r="B216" s="113" t="s">
        <v>1683</v>
      </c>
      <c r="C216" s="114">
        <v>57</v>
      </c>
      <c r="D216" s="114">
        <v>912</v>
      </c>
      <c r="E216" t="str">
        <f t="shared" ref="E216:E279" si="4">CONCATENATE(A216," - ",B216)</f>
        <v>TADigital India Digital | MarTech - L4 / D1 | Architect</v>
      </c>
    </row>
    <row r="217" spans="1:5" x14ac:dyDescent="0.3">
      <c r="A217" s="113" t="s">
        <v>717</v>
      </c>
      <c r="B217" s="113" t="s">
        <v>1684</v>
      </c>
      <c r="C217" s="114">
        <v>69</v>
      </c>
      <c r="D217" s="114">
        <v>1008</v>
      </c>
      <c r="E217" t="str">
        <f t="shared" si="4"/>
        <v>TADigital India Digital | MarTech - L5 / D2-E1 | Senior Architect</v>
      </c>
    </row>
    <row r="218" spans="1:5" x14ac:dyDescent="0.3">
      <c r="A218" s="113" t="s">
        <v>717</v>
      </c>
      <c r="B218" s="113" t="s">
        <v>1685</v>
      </c>
      <c r="C218" s="114">
        <v>81</v>
      </c>
      <c r="D218" s="114">
        <v>1080</v>
      </c>
      <c r="E218" t="str">
        <f t="shared" si="4"/>
        <v>TADigital India Digital | MarTech - L6 / E2-S1 | Principal Architect</v>
      </c>
    </row>
    <row r="219" spans="1:5" x14ac:dyDescent="0.3">
      <c r="A219" s="113" t="s">
        <v>718</v>
      </c>
      <c r="B219" s="113" t="s">
        <v>3214</v>
      </c>
      <c r="C219" s="114">
        <v>13</v>
      </c>
      <c r="D219" s="114">
        <v>288</v>
      </c>
      <c r="E219" t="str">
        <f t="shared" si="4"/>
        <v>TADigital India Digital | Premium MarTech - L2 / B1-B2 | Associate Engineer</v>
      </c>
    </row>
    <row r="220" spans="1:5" x14ac:dyDescent="0.3">
      <c r="A220" s="113" t="s">
        <v>718</v>
      </c>
      <c r="B220" s="113" t="s">
        <v>3215</v>
      </c>
      <c r="C220" s="114">
        <v>24</v>
      </c>
      <c r="D220" s="114">
        <v>520</v>
      </c>
      <c r="E220" t="str">
        <f t="shared" si="4"/>
        <v>TADigital India Digital | Premium MarTech - L2 / B1-B2 | Engineer</v>
      </c>
    </row>
    <row r="221" spans="1:5" x14ac:dyDescent="0.3">
      <c r="A221" s="113" t="s">
        <v>718</v>
      </c>
      <c r="B221" s="113" t="s">
        <v>1681</v>
      </c>
      <c r="C221" s="114">
        <v>43</v>
      </c>
      <c r="D221" s="114">
        <v>768</v>
      </c>
      <c r="E221" t="str">
        <f t="shared" si="4"/>
        <v>TADigital India Digital | Premium MarTech - L3 / C1-C2 | Senior Engineer</v>
      </c>
    </row>
    <row r="222" spans="1:5" x14ac:dyDescent="0.3">
      <c r="A222" s="113" t="s">
        <v>718</v>
      </c>
      <c r="B222" s="113" t="s">
        <v>1682</v>
      </c>
      <c r="C222" s="114">
        <v>56</v>
      </c>
      <c r="D222" s="114">
        <v>936</v>
      </c>
      <c r="E222" t="str">
        <f t="shared" si="4"/>
        <v>TADigital India Digital | Premium MarTech - L3 / C1-C2 | Lead Engineer</v>
      </c>
    </row>
    <row r="223" spans="1:5" x14ac:dyDescent="0.3">
      <c r="A223" s="113" t="s">
        <v>718</v>
      </c>
      <c r="B223" s="113" t="s">
        <v>1683</v>
      </c>
      <c r="C223" s="114">
        <v>69</v>
      </c>
      <c r="D223" s="114">
        <v>1104</v>
      </c>
      <c r="E223" t="str">
        <f t="shared" si="4"/>
        <v>TADigital India Digital | Premium MarTech - L4 / D1 | Architect</v>
      </c>
    </row>
    <row r="224" spans="1:5" x14ac:dyDescent="0.3">
      <c r="A224" s="113" t="s">
        <v>718</v>
      </c>
      <c r="B224" s="113" t="s">
        <v>1684</v>
      </c>
      <c r="C224" s="114">
        <v>81</v>
      </c>
      <c r="D224" s="114">
        <v>1184</v>
      </c>
      <c r="E224" t="str">
        <f t="shared" si="4"/>
        <v>TADigital India Digital | Premium MarTech - L5 / D2-E1 | Senior Architect</v>
      </c>
    </row>
    <row r="225" spans="1:5" x14ac:dyDescent="0.3">
      <c r="A225" s="113" t="s">
        <v>718</v>
      </c>
      <c r="B225" s="113" t="s">
        <v>1685</v>
      </c>
      <c r="C225" s="114">
        <v>99</v>
      </c>
      <c r="D225" s="114">
        <v>1320</v>
      </c>
      <c r="E225" t="str">
        <f t="shared" si="4"/>
        <v>TADigital India Digital | Premium MarTech - L6 / E2-S1 | Principal Architect</v>
      </c>
    </row>
    <row r="226" spans="1:5" x14ac:dyDescent="0.3">
      <c r="A226" s="113" t="s">
        <v>719</v>
      </c>
      <c r="B226" s="113" t="s">
        <v>720</v>
      </c>
      <c r="C226" s="114">
        <v>140</v>
      </c>
      <c r="D226" s="114">
        <v>2320</v>
      </c>
      <c r="E226" t="str">
        <f t="shared" si="4"/>
        <v>TADigital NA | Management - Associate Practice Director</v>
      </c>
    </row>
    <row r="227" spans="1:5" x14ac:dyDescent="0.3">
      <c r="A227" s="113" t="s">
        <v>719</v>
      </c>
      <c r="B227" s="113" t="s">
        <v>721</v>
      </c>
      <c r="C227" s="114">
        <v>165</v>
      </c>
      <c r="D227" s="114">
        <v>2520</v>
      </c>
      <c r="E227" t="str">
        <f t="shared" si="4"/>
        <v>TADigital NA | Management - Practice Director / Delivery Director</v>
      </c>
    </row>
    <row r="228" spans="1:5" x14ac:dyDescent="0.3">
      <c r="A228" s="113" t="s">
        <v>719</v>
      </c>
      <c r="B228" s="113" t="s">
        <v>722</v>
      </c>
      <c r="C228" s="114">
        <v>170</v>
      </c>
      <c r="D228" s="114">
        <v>2720</v>
      </c>
      <c r="E228" t="str">
        <f t="shared" si="4"/>
        <v>TADigital NA | Management - Sr. Practice Director / Sr. Delivery Director</v>
      </c>
    </row>
    <row r="229" spans="1:5" x14ac:dyDescent="0.3">
      <c r="A229" s="113" t="s">
        <v>719</v>
      </c>
      <c r="B229" s="113" t="s">
        <v>592</v>
      </c>
      <c r="C229" s="114">
        <v>172.5</v>
      </c>
      <c r="D229" s="114">
        <v>2960</v>
      </c>
      <c r="E229" t="str">
        <f t="shared" si="4"/>
        <v>TADigital NA | Management - Practice VP / Delivery VP</v>
      </c>
    </row>
    <row r="230" spans="1:5" x14ac:dyDescent="0.3">
      <c r="A230" s="113" t="s">
        <v>719</v>
      </c>
      <c r="B230" s="113" t="s">
        <v>723</v>
      </c>
      <c r="C230" s="114">
        <v>285</v>
      </c>
      <c r="D230" s="114">
        <v>4000</v>
      </c>
      <c r="E230" t="str">
        <f t="shared" si="4"/>
        <v>TADigital NA | Management - CXO / CDO</v>
      </c>
    </row>
    <row r="231" spans="1:5" x14ac:dyDescent="0.3">
      <c r="A231" s="113" t="s">
        <v>724</v>
      </c>
      <c r="B231" s="113" t="s">
        <v>440</v>
      </c>
      <c r="C231" s="114">
        <v>112.5</v>
      </c>
      <c r="D231" s="114">
        <v>1520</v>
      </c>
      <c r="E231" t="str">
        <f t="shared" si="4"/>
        <v>TADigital NA Consulting - Project Manager / Product Manager</v>
      </c>
    </row>
    <row r="232" spans="1:5" x14ac:dyDescent="0.3">
      <c r="A232" s="113" t="s">
        <v>724</v>
      </c>
      <c r="B232" s="113" t="s">
        <v>442</v>
      </c>
      <c r="C232" s="114">
        <v>135</v>
      </c>
      <c r="D232" s="114">
        <v>1880</v>
      </c>
      <c r="E232" t="str">
        <f t="shared" si="4"/>
        <v>TADigital NA Consulting - Sr. Project Manager</v>
      </c>
    </row>
    <row r="233" spans="1:5" x14ac:dyDescent="0.3">
      <c r="A233" s="113" t="s">
        <v>724</v>
      </c>
      <c r="B233" s="113" t="s">
        <v>444</v>
      </c>
      <c r="C233" s="114">
        <v>135</v>
      </c>
      <c r="D233" s="114">
        <v>2120</v>
      </c>
      <c r="E233" t="str">
        <f t="shared" si="4"/>
        <v>TADigital NA Consulting - Delivery Manager</v>
      </c>
    </row>
    <row r="234" spans="1:5" x14ac:dyDescent="0.3">
      <c r="A234" s="113" t="s">
        <v>724</v>
      </c>
      <c r="B234" s="113" t="s">
        <v>446</v>
      </c>
      <c r="C234" s="114">
        <v>130</v>
      </c>
      <c r="D234" s="114">
        <v>1880</v>
      </c>
      <c r="E234" t="str">
        <f t="shared" si="4"/>
        <v>TADigital NA Consulting - Practice Manager</v>
      </c>
    </row>
    <row r="235" spans="1:5" x14ac:dyDescent="0.3">
      <c r="A235" s="113" t="s">
        <v>724</v>
      </c>
      <c r="B235" s="113" t="s">
        <v>448</v>
      </c>
      <c r="C235" s="114">
        <v>137.5</v>
      </c>
      <c r="D235" s="114">
        <v>2120</v>
      </c>
      <c r="E235" t="str">
        <f t="shared" si="4"/>
        <v>TADigital NA Consulting - Sr. Practice Manager</v>
      </c>
    </row>
    <row r="236" spans="1:5" x14ac:dyDescent="0.3">
      <c r="A236" s="113" t="s">
        <v>725</v>
      </c>
      <c r="B236" s="113" t="s">
        <v>726</v>
      </c>
      <c r="C236" s="114">
        <v>65</v>
      </c>
      <c r="D236" s="114">
        <v>1000</v>
      </c>
      <c r="E236" t="str">
        <f t="shared" si="4"/>
        <v>TADigital NA Consulting | Content &amp; SEO - Content Analyst</v>
      </c>
    </row>
    <row r="237" spans="1:5" x14ac:dyDescent="0.3">
      <c r="A237" s="113" t="s">
        <v>725</v>
      </c>
      <c r="B237" s="113" t="s">
        <v>727</v>
      </c>
      <c r="C237" s="114">
        <v>72.5</v>
      </c>
      <c r="D237" s="114">
        <v>1280</v>
      </c>
      <c r="E237" t="str">
        <f t="shared" si="4"/>
        <v>TADigital NA Consulting | Content &amp; SEO - Associate Content Strategist</v>
      </c>
    </row>
    <row r="238" spans="1:5" x14ac:dyDescent="0.3">
      <c r="A238" s="113" t="s">
        <v>725</v>
      </c>
      <c r="B238" s="113" t="s">
        <v>394</v>
      </c>
      <c r="C238" s="114">
        <v>80</v>
      </c>
      <c r="D238" s="114">
        <v>1360</v>
      </c>
      <c r="E238" t="str">
        <f t="shared" si="4"/>
        <v>TADigital NA Consulting | Content &amp; SEO - Content Strategist</v>
      </c>
    </row>
    <row r="239" spans="1:5" x14ac:dyDescent="0.3">
      <c r="A239" s="113" t="s">
        <v>725</v>
      </c>
      <c r="B239" s="113" t="s">
        <v>728</v>
      </c>
      <c r="C239" s="114">
        <v>90</v>
      </c>
      <c r="D239" s="114">
        <v>1440</v>
      </c>
      <c r="E239" t="str">
        <f t="shared" si="4"/>
        <v>TADigital NA Consulting | Content &amp; SEO - Sr. Content Strategist</v>
      </c>
    </row>
    <row r="240" spans="1:5" x14ac:dyDescent="0.3">
      <c r="A240" s="113" t="s">
        <v>725</v>
      </c>
      <c r="B240" s="113" t="s">
        <v>729</v>
      </c>
      <c r="C240" s="114">
        <v>105</v>
      </c>
      <c r="D240" s="114">
        <v>1520</v>
      </c>
      <c r="E240" t="str">
        <f t="shared" si="4"/>
        <v>TADigital NA Consulting | Content &amp; SEO - Content Strategy Lead</v>
      </c>
    </row>
    <row r="241" spans="1:5" x14ac:dyDescent="0.3">
      <c r="A241" s="113" t="s">
        <v>725</v>
      </c>
      <c r="B241" s="113" t="s">
        <v>730</v>
      </c>
      <c r="C241" s="114">
        <v>107.5</v>
      </c>
      <c r="D241" s="114">
        <v>1680</v>
      </c>
      <c r="E241" t="str">
        <f t="shared" si="4"/>
        <v>TADigital NA Consulting | Content &amp; SEO - Associate Manager</v>
      </c>
    </row>
    <row r="242" spans="1:5" x14ac:dyDescent="0.3">
      <c r="A242" s="113" t="s">
        <v>725</v>
      </c>
      <c r="B242" s="113" t="s">
        <v>731</v>
      </c>
      <c r="C242" s="114">
        <v>65</v>
      </c>
      <c r="D242" s="114">
        <v>1000</v>
      </c>
      <c r="E242" t="str">
        <f t="shared" si="4"/>
        <v>TADigital NA Consulting | Content &amp; SEO - Associate Copy Analyst</v>
      </c>
    </row>
    <row r="243" spans="1:5" x14ac:dyDescent="0.3">
      <c r="A243" s="113" t="s">
        <v>725</v>
      </c>
      <c r="B243" s="113" t="s">
        <v>732</v>
      </c>
      <c r="C243" s="114">
        <v>75</v>
      </c>
      <c r="D243" s="114">
        <v>1120</v>
      </c>
      <c r="E243" t="str">
        <f t="shared" si="4"/>
        <v>TADigital NA Consulting | Content &amp; SEO - Copywriter</v>
      </c>
    </row>
    <row r="244" spans="1:5" x14ac:dyDescent="0.3">
      <c r="A244" s="113" t="s">
        <v>725</v>
      </c>
      <c r="B244" s="113" t="s">
        <v>733</v>
      </c>
      <c r="C244" s="114">
        <v>80</v>
      </c>
      <c r="D244" s="114">
        <v>1280</v>
      </c>
      <c r="E244" t="str">
        <f t="shared" si="4"/>
        <v>TADigital NA Consulting | Content &amp; SEO - Sr. Copywriter</v>
      </c>
    </row>
    <row r="245" spans="1:5" x14ac:dyDescent="0.3">
      <c r="A245" s="113" t="s">
        <v>725</v>
      </c>
      <c r="B245" s="113" t="s">
        <v>734</v>
      </c>
      <c r="C245" s="114">
        <v>90</v>
      </c>
      <c r="D245" s="114">
        <v>1360</v>
      </c>
      <c r="E245" t="str">
        <f t="shared" si="4"/>
        <v>TADigital NA Consulting | Content &amp; SEO - Sr. Copy Editor</v>
      </c>
    </row>
    <row r="246" spans="1:5" x14ac:dyDescent="0.3">
      <c r="A246" s="113" t="s">
        <v>725</v>
      </c>
      <c r="B246" s="113" t="s">
        <v>735</v>
      </c>
      <c r="C246" s="114">
        <v>105</v>
      </c>
      <c r="D246" s="114">
        <v>1440</v>
      </c>
      <c r="E246" t="str">
        <f t="shared" si="4"/>
        <v>TADigital NA Consulting | Content &amp; SEO - Editorial Content Lead</v>
      </c>
    </row>
    <row r="247" spans="1:5" x14ac:dyDescent="0.3">
      <c r="A247" s="113" t="s">
        <v>725</v>
      </c>
      <c r="B247" s="113" t="s">
        <v>736</v>
      </c>
      <c r="C247" s="114">
        <v>65</v>
      </c>
      <c r="D247" s="114">
        <v>840</v>
      </c>
      <c r="E247" t="str">
        <f t="shared" si="4"/>
        <v>TADigital NA Consulting | Content &amp; SEO - Associate Web Content Analyst</v>
      </c>
    </row>
    <row r="248" spans="1:5" x14ac:dyDescent="0.3">
      <c r="A248" s="113" t="s">
        <v>725</v>
      </c>
      <c r="B248" s="113" t="s">
        <v>737</v>
      </c>
      <c r="C248" s="114">
        <v>75</v>
      </c>
      <c r="D248" s="114">
        <v>1000</v>
      </c>
      <c r="E248" t="str">
        <f t="shared" si="4"/>
        <v>TADigital NA Consulting | Content &amp; SEO - Web Content Analyst</v>
      </c>
    </row>
    <row r="249" spans="1:5" x14ac:dyDescent="0.3">
      <c r="A249" s="113" t="s">
        <v>725</v>
      </c>
      <c r="B249" s="113" t="s">
        <v>738</v>
      </c>
      <c r="C249" s="114">
        <v>80</v>
      </c>
      <c r="D249" s="114">
        <v>1080</v>
      </c>
      <c r="E249" t="str">
        <f t="shared" si="4"/>
        <v>TADigital NA Consulting | Content &amp; SEO - Sr. Web Content Analyst</v>
      </c>
    </row>
    <row r="250" spans="1:5" x14ac:dyDescent="0.3">
      <c r="A250" s="113" t="s">
        <v>725</v>
      </c>
      <c r="B250" s="113" t="s">
        <v>739</v>
      </c>
      <c r="C250" s="114">
        <v>80</v>
      </c>
      <c r="D250" s="114">
        <v>1160</v>
      </c>
      <c r="E250" t="str">
        <f t="shared" si="4"/>
        <v>TADigital NA Consulting | Content &amp; SEO - Principal Web Content Analyst</v>
      </c>
    </row>
    <row r="251" spans="1:5" x14ac:dyDescent="0.3">
      <c r="A251" s="113" t="s">
        <v>725</v>
      </c>
      <c r="B251" s="113" t="s">
        <v>740</v>
      </c>
      <c r="C251" s="114">
        <v>90</v>
      </c>
      <c r="D251" s="114">
        <v>1360</v>
      </c>
      <c r="E251" t="str">
        <f t="shared" si="4"/>
        <v>TADigital NA Consulting | Content &amp; SEO - Sr. Content Engineer</v>
      </c>
    </row>
    <row r="252" spans="1:5" x14ac:dyDescent="0.3">
      <c r="A252" s="113" t="s">
        <v>725</v>
      </c>
      <c r="B252" s="113" t="s">
        <v>741</v>
      </c>
      <c r="C252" s="114">
        <v>105</v>
      </c>
      <c r="D252" s="114">
        <v>1440</v>
      </c>
      <c r="E252" t="str">
        <f t="shared" si="4"/>
        <v>TADigital NA Consulting | Content &amp; SEO - Lead Web Content Engineer</v>
      </c>
    </row>
    <row r="253" spans="1:5" x14ac:dyDescent="0.3">
      <c r="A253" s="113" t="s">
        <v>725</v>
      </c>
      <c r="B253" s="113" t="s">
        <v>742</v>
      </c>
      <c r="C253" s="114">
        <v>65</v>
      </c>
      <c r="D253" s="114">
        <v>1000</v>
      </c>
      <c r="E253" t="str">
        <f t="shared" si="4"/>
        <v>TADigital NA Consulting | Content &amp; SEO - Associate SEO Analyst</v>
      </c>
    </row>
    <row r="254" spans="1:5" x14ac:dyDescent="0.3">
      <c r="A254" s="113" t="s">
        <v>725</v>
      </c>
      <c r="B254" s="113" t="s">
        <v>743</v>
      </c>
      <c r="C254" s="114">
        <v>75</v>
      </c>
      <c r="D254" s="114">
        <v>1080</v>
      </c>
      <c r="E254" t="str">
        <f t="shared" si="4"/>
        <v>TADigital NA Consulting | Content &amp; SEO - SEO Analyst</v>
      </c>
    </row>
    <row r="255" spans="1:5" x14ac:dyDescent="0.3">
      <c r="A255" s="113" t="s">
        <v>725</v>
      </c>
      <c r="B255" s="113" t="s">
        <v>744</v>
      </c>
      <c r="C255" s="114">
        <v>80</v>
      </c>
      <c r="D255" s="114">
        <v>1280</v>
      </c>
      <c r="E255" t="str">
        <f t="shared" si="4"/>
        <v>TADigital NA Consulting | Content &amp; SEO - SEO Strategist</v>
      </c>
    </row>
    <row r="256" spans="1:5" x14ac:dyDescent="0.3">
      <c r="A256" s="113" t="s">
        <v>725</v>
      </c>
      <c r="B256" s="113" t="s">
        <v>745</v>
      </c>
      <c r="C256" s="114">
        <v>90</v>
      </c>
      <c r="D256" s="114">
        <v>1440</v>
      </c>
      <c r="E256" t="str">
        <f t="shared" si="4"/>
        <v>TADigital NA Consulting | Content &amp; SEO - Sr. SEO Strategist</v>
      </c>
    </row>
    <row r="257" spans="1:5" x14ac:dyDescent="0.3">
      <c r="A257" s="113" t="s">
        <v>725</v>
      </c>
      <c r="B257" s="113" t="s">
        <v>746</v>
      </c>
      <c r="C257" s="114">
        <v>105</v>
      </c>
      <c r="D257" s="114">
        <v>1520</v>
      </c>
      <c r="E257" t="str">
        <f t="shared" si="4"/>
        <v>TADigital NA Consulting | Content &amp; SEO - SEO Lead</v>
      </c>
    </row>
    <row r="258" spans="1:5" x14ac:dyDescent="0.3">
      <c r="A258" s="113" t="s">
        <v>747</v>
      </c>
      <c r="B258" s="113" t="s">
        <v>748</v>
      </c>
      <c r="C258" s="114">
        <v>65</v>
      </c>
      <c r="D258" s="114">
        <v>1000</v>
      </c>
      <c r="E258" t="str">
        <f t="shared" si="4"/>
        <v>TADigital NA Consulting | Design - Associate UX Designer</v>
      </c>
    </row>
    <row r="259" spans="1:5" x14ac:dyDescent="0.3">
      <c r="A259" s="113" t="s">
        <v>747</v>
      </c>
      <c r="B259" s="113" t="s">
        <v>749</v>
      </c>
      <c r="C259" s="114">
        <v>70</v>
      </c>
      <c r="D259" s="114">
        <v>1360</v>
      </c>
      <c r="E259" t="str">
        <f t="shared" si="4"/>
        <v>TADigital NA Consulting | Design - UX Designer</v>
      </c>
    </row>
    <row r="260" spans="1:5" x14ac:dyDescent="0.3">
      <c r="A260" s="113" t="s">
        <v>747</v>
      </c>
      <c r="B260" s="113" t="s">
        <v>750</v>
      </c>
      <c r="C260" s="114">
        <v>110</v>
      </c>
      <c r="D260" s="114">
        <v>1520</v>
      </c>
      <c r="E260" t="str">
        <f t="shared" si="4"/>
        <v>TADigital NA Consulting | Design - Sr. UX Designer</v>
      </c>
    </row>
    <row r="261" spans="1:5" x14ac:dyDescent="0.3">
      <c r="A261" s="113" t="s">
        <v>747</v>
      </c>
      <c r="B261" s="113" t="s">
        <v>751</v>
      </c>
      <c r="C261" s="114">
        <v>107.5</v>
      </c>
      <c r="D261" s="114">
        <v>1680</v>
      </c>
      <c r="E261" t="str">
        <f t="shared" si="4"/>
        <v>TADigital NA Consulting | Design - Associate UX Manager / Associate UX Principal</v>
      </c>
    </row>
    <row r="262" spans="1:5" x14ac:dyDescent="0.3">
      <c r="A262" s="113" t="s">
        <v>747</v>
      </c>
      <c r="B262" s="113" t="s">
        <v>752</v>
      </c>
      <c r="C262" s="114">
        <v>120</v>
      </c>
      <c r="D262" s="114">
        <v>1880</v>
      </c>
      <c r="E262" t="str">
        <f t="shared" si="4"/>
        <v>TADigital NA Consulting | Design - UX Manager / UX Principal</v>
      </c>
    </row>
    <row r="263" spans="1:5" x14ac:dyDescent="0.3">
      <c r="A263" s="113" t="s">
        <v>747</v>
      </c>
      <c r="B263" s="113" t="s">
        <v>753</v>
      </c>
      <c r="C263" s="114">
        <v>140</v>
      </c>
      <c r="D263" s="114">
        <v>2120</v>
      </c>
      <c r="E263" t="str">
        <f t="shared" si="4"/>
        <v>TADigital NA Consulting | Design - Sr. UX Manager / Sr. UX Principal</v>
      </c>
    </row>
    <row r="264" spans="1:5" x14ac:dyDescent="0.3">
      <c r="A264" s="113" t="s">
        <v>747</v>
      </c>
      <c r="B264" s="113" t="s">
        <v>754</v>
      </c>
      <c r="C264" s="114">
        <v>77.5</v>
      </c>
      <c r="D264" s="114">
        <v>1160</v>
      </c>
      <c r="E264" t="str">
        <f t="shared" si="4"/>
        <v>TADigital NA Consulting | Design - Associate Visual Designer</v>
      </c>
    </row>
    <row r="265" spans="1:5" x14ac:dyDescent="0.3">
      <c r="A265" s="113" t="s">
        <v>747</v>
      </c>
      <c r="B265" s="113" t="s">
        <v>392</v>
      </c>
      <c r="C265" s="114">
        <v>90</v>
      </c>
      <c r="D265" s="114">
        <v>1280</v>
      </c>
      <c r="E265" t="str">
        <f t="shared" si="4"/>
        <v>TADigital NA Consulting | Design - Visual Designer</v>
      </c>
    </row>
    <row r="266" spans="1:5" x14ac:dyDescent="0.3">
      <c r="A266" s="113" t="s">
        <v>747</v>
      </c>
      <c r="B266" s="113" t="s">
        <v>755</v>
      </c>
      <c r="C266" s="114">
        <v>95</v>
      </c>
      <c r="D266" s="114">
        <v>1360</v>
      </c>
      <c r="E266" t="str">
        <f t="shared" si="4"/>
        <v>TADigital NA Consulting | Design - Sr. Visual Designer</v>
      </c>
    </row>
    <row r="267" spans="1:5" x14ac:dyDescent="0.3">
      <c r="A267" s="113" t="s">
        <v>747</v>
      </c>
      <c r="B267" s="113" t="s">
        <v>756</v>
      </c>
      <c r="C267" s="114">
        <v>102.5</v>
      </c>
      <c r="D267" s="114">
        <v>1520</v>
      </c>
      <c r="E267" t="str">
        <f t="shared" si="4"/>
        <v>TADigital NA Consulting | Design - Art Director</v>
      </c>
    </row>
    <row r="268" spans="1:5" x14ac:dyDescent="0.3">
      <c r="A268" s="113" t="s">
        <v>747</v>
      </c>
      <c r="B268" s="113" t="s">
        <v>757</v>
      </c>
      <c r="C268" s="114">
        <v>107.5</v>
      </c>
      <c r="D268" s="114">
        <v>1680</v>
      </c>
      <c r="E268" t="str">
        <f t="shared" si="4"/>
        <v>TADigital NA Consulting | Design - Sr. Art Director</v>
      </c>
    </row>
    <row r="269" spans="1:5" x14ac:dyDescent="0.3">
      <c r="A269" s="113" t="s">
        <v>747</v>
      </c>
      <c r="B269" s="113" t="s">
        <v>758</v>
      </c>
      <c r="C269" s="114">
        <v>140</v>
      </c>
      <c r="D269" s="114">
        <v>1880</v>
      </c>
      <c r="E269" t="str">
        <f t="shared" si="4"/>
        <v>TADigital NA Consulting | Design - Managing Art Director</v>
      </c>
    </row>
    <row r="270" spans="1:5" x14ac:dyDescent="0.3">
      <c r="A270" s="113" t="s">
        <v>759</v>
      </c>
      <c r="B270" s="113" t="s">
        <v>760</v>
      </c>
      <c r="C270" s="114">
        <v>75</v>
      </c>
      <c r="D270" s="114">
        <v>1080</v>
      </c>
      <c r="E270" t="str">
        <f t="shared" si="4"/>
        <v>TADigital NA Consulting | Strategy - Associate Analyst</v>
      </c>
    </row>
    <row r="271" spans="1:5" x14ac:dyDescent="0.3">
      <c r="A271" s="113" t="s">
        <v>759</v>
      </c>
      <c r="B271" s="113" t="s">
        <v>252</v>
      </c>
      <c r="C271" s="114">
        <v>85</v>
      </c>
      <c r="D271" s="114">
        <v>1360</v>
      </c>
      <c r="E271" t="str">
        <f t="shared" si="4"/>
        <v>TADigital NA Consulting | Strategy - Analyst</v>
      </c>
    </row>
    <row r="272" spans="1:5" x14ac:dyDescent="0.3">
      <c r="A272" s="113" t="s">
        <v>759</v>
      </c>
      <c r="B272" s="113" t="s">
        <v>761</v>
      </c>
      <c r="C272" s="114">
        <v>85</v>
      </c>
      <c r="D272" s="114">
        <v>1520</v>
      </c>
      <c r="E272" t="str">
        <f t="shared" si="4"/>
        <v>TADigital NA Consulting | Strategy - Sr. Analyst</v>
      </c>
    </row>
    <row r="273" spans="1:5" x14ac:dyDescent="0.3">
      <c r="A273" s="113" t="s">
        <v>759</v>
      </c>
      <c r="B273" s="113" t="s">
        <v>762</v>
      </c>
      <c r="C273" s="114">
        <v>85</v>
      </c>
      <c r="D273" s="114">
        <v>1600</v>
      </c>
      <c r="E273" t="str">
        <f t="shared" si="4"/>
        <v>TADigital NA Consulting | Strategy - Associate Digital Strategist</v>
      </c>
    </row>
    <row r="274" spans="1:5" x14ac:dyDescent="0.3">
      <c r="A274" s="113" t="s">
        <v>759</v>
      </c>
      <c r="B274" s="113" t="s">
        <v>763</v>
      </c>
      <c r="C274" s="114">
        <v>105</v>
      </c>
      <c r="D274" s="114">
        <v>1640</v>
      </c>
      <c r="E274" t="str">
        <f t="shared" si="4"/>
        <v>TADigital NA Consulting | Strategy - Digital Strategist</v>
      </c>
    </row>
    <row r="275" spans="1:5" x14ac:dyDescent="0.3">
      <c r="A275" s="113" t="s">
        <v>759</v>
      </c>
      <c r="B275" s="113" t="s">
        <v>764</v>
      </c>
      <c r="C275" s="114">
        <v>105</v>
      </c>
      <c r="D275" s="114">
        <v>1680</v>
      </c>
      <c r="E275" t="str">
        <f t="shared" si="4"/>
        <v>TADigital NA Consulting | Strategy - Sr. Digital Strategist</v>
      </c>
    </row>
    <row r="276" spans="1:5" x14ac:dyDescent="0.3">
      <c r="A276" s="113" t="s">
        <v>759</v>
      </c>
      <c r="B276" s="113" t="s">
        <v>730</v>
      </c>
      <c r="C276" s="114">
        <v>122.5</v>
      </c>
      <c r="D276" s="114">
        <v>1680</v>
      </c>
      <c r="E276" t="str">
        <f t="shared" si="4"/>
        <v>TADigital NA Consulting | Strategy - Associate Manager</v>
      </c>
    </row>
    <row r="277" spans="1:5" x14ac:dyDescent="0.3">
      <c r="A277" s="113" t="s">
        <v>765</v>
      </c>
      <c r="B277" s="113" t="s">
        <v>766</v>
      </c>
      <c r="C277" s="114">
        <v>0</v>
      </c>
      <c r="D277" s="114">
        <v>0</v>
      </c>
      <c r="E277" t="str">
        <f t="shared" si="4"/>
        <v>TADigital NA Digital - Contractor</v>
      </c>
    </row>
    <row r="278" spans="1:5" x14ac:dyDescent="0.3">
      <c r="A278" s="113" t="s">
        <v>765</v>
      </c>
      <c r="B278" s="113" t="s">
        <v>532</v>
      </c>
      <c r="C278" s="114">
        <v>80</v>
      </c>
      <c r="D278" s="114">
        <v>1280</v>
      </c>
      <c r="E278" t="str">
        <f t="shared" si="4"/>
        <v>TADigital NA Digital - Developer</v>
      </c>
    </row>
    <row r="279" spans="1:5" x14ac:dyDescent="0.3">
      <c r="A279" s="113" t="s">
        <v>765</v>
      </c>
      <c r="B279" s="113" t="s">
        <v>534</v>
      </c>
      <c r="C279" s="114">
        <v>82.5</v>
      </c>
      <c r="D279" s="114">
        <v>1360</v>
      </c>
      <c r="E279" t="str">
        <f t="shared" si="4"/>
        <v>TADigital NA Digital - Sr. Developer</v>
      </c>
    </row>
    <row r="280" spans="1:5" x14ac:dyDescent="0.3">
      <c r="A280" s="113" t="s">
        <v>765</v>
      </c>
      <c r="B280" s="113" t="s">
        <v>536</v>
      </c>
      <c r="C280" s="114">
        <v>90</v>
      </c>
      <c r="D280" s="114">
        <v>1480</v>
      </c>
      <c r="E280" t="str">
        <f t="shared" ref="E280:E309" si="5">CONCATENATE(A280," - ",B280)</f>
        <v>TADigital NA Digital - Technical Lead</v>
      </c>
    </row>
    <row r="281" spans="1:5" x14ac:dyDescent="0.3">
      <c r="A281" s="113" t="s">
        <v>765</v>
      </c>
      <c r="B281" s="113" t="s">
        <v>538</v>
      </c>
      <c r="C281" s="114">
        <v>132.5</v>
      </c>
      <c r="D281" s="114">
        <v>1880</v>
      </c>
      <c r="E281" t="str">
        <f t="shared" si="5"/>
        <v>TADigital NA Digital - Technical Architect</v>
      </c>
    </row>
    <row r="282" spans="1:5" x14ac:dyDescent="0.3">
      <c r="A282" s="113" t="s">
        <v>765</v>
      </c>
      <c r="B282" s="113" t="s">
        <v>540</v>
      </c>
      <c r="C282" s="114">
        <v>155</v>
      </c>
      <c r="D282" s="114">
        <v>2200</v>
      </c>
      <c r="E282" t="str">
        <f t="shared" si="5"/>
        <v>TADigital NA Digital - Sr. Technical Architect</v>
      </c>
    </row>
    <row r="283" spans="1:5" x14ac:dyDescent="0.3">
      <c r="A283" s="113" t="s">
        <v>765</v>
      </c>
      <c r="B283" s="113" t="s">
        <v>542</v>
      </c>
      <c r="C283" s="114">
        <v>167.5</v>
      </c>
      <c r="D283" s="114">
        <v>2320</v>
      </c>
      <c r="E283" t="str">
        <f t="shared" si="5"/>
        <v>TADigital NA Digital - Multi-Solution Architect</v>
      </c>
    </row>
    <row r="284" spans="1:5" x14ac:dyDescent="0.3">
      <c r="A284" s="113" t="s">
        <v>765</v>
      </c>
      <c r="B284" s="113" t="s">
        <v>544</v>
      </c>
      <c r="C284" s="114">
        <v>85</v>
      </c>
      <c r="D284" s="114">
        <v>1280</v>
      </c>
      <c r="E284" t="str">
        <f t="shared" si="5"/>
        <v>TADigital NA Digital - Data Engineer / Data Analyst</v>
      </c>
    </row>
    <row r="285" spans="1:5" x14ac:dyDescent="0.3">
      <c r="A285" s="113" t="s">
        <v>765</v>
      </c>
      <c r="B285" s="113" t="s">
        <v>546</v>
      </c>
      <c r="C285" s="114">
        <v>105</v>
      </c>
      <c r="D285" s="114">
        <v>1520</v>
      </c>
      <c r="E285" t="str">
        <f t="shared" si="5"/>
        <v>TADigital NA Digital - Sr. Data Engineer / Sr. Data Analyst</v>
      </c>
    </row>
    <row r="286" spans="1:5" x14ac:dyDescent="0.3">
      <c r="A286" s="113" t="s">
        <v>765</v>
      </c>
      <c r="B286" s="113" t="s">
        <v>548</v>
      </c>
      <c r="C286" s="114">
        <v>107.5</v>
      </c>
      <c r="D286" s="114">
        <v>1680</v>
      </c>
      <c r="E286" t="str">
        <f t="shared" si="5"/>
        <v>TADigital NA Digital - Data Lead / Lead Data Analyst</v>
      </c>
    </row>
    <row r="287" spans="1:5" x14ac:dyDescent="0.3">
      <c r="A287" s="113" t="s">
        <v>765</v>
      </c>
      <c r="B287" s="113" t="s">
        <v>550</v>
      </c>
      <c r="C287" s="114">
        <v>115.5</v>
      </c>
      <c r="D287" s="114">
        <v>1880</v>
      </c>
      <c r="E287" t="str">
        <f t="shared" si="5"/>
        <v>TADigital NA Digital - Data Scientist/Architect/Strategist</v>
      </c>
    </row>
    <row r="288" spans="1:5" x14ac:dyDescent="0.3">
      <c r="A288" s="113" t="s">
        <v>765</v>
      </c>
      <c r="B288" s="113" t="s">
        <v>552</v>
      </c>
      <c r="C288" s="114">
        <v>162.5</v>
      </c>
      <c r="D288" s="114">
        <v>2200</v>
      </c>
      <c r="E288" t="str">
        <f t="shared" si="5"/>
        <v>TADigital NA Digital - Sr. Data Scientist/Architect/Strategist</v>
      </c>
    </row>
    <row r="289" spans="1:5" x14ac:dyDescent="0.3">
      <c r="A289" s="113" t="s">
        <v>765</v>
      </c>
      <c r="B289" s="113" t="s">
        <v>554</v>
      </c>
      <c r="C289" s="114">
        <v>162.5</v>
      </c>
      <c r="D289" s="114">
        <v>2200</v>
      </c>
      <c r="E289" t="str">
        <f t="shared" si="5"/>
        <v>TADigital NA Digital - Enterprise Arch. / Associate Prin. Data Scientist</v>
      </c>
    </row>
    <row r="290" spans="1:5" x14ac:dyDescent="0.3">
      <c r="A290" s="113" t="s">
        <v>765</v>
      </c>
      <c r="B290" s="113" t="s">
        <v>556</v>
      </c>
      <c r="C290" s="114">
        <v>162.5</v>
      </c>
      <c r="D290" s="114">
        <v>2320</v>
      </c>
      <c r="E290" t="str">
        <f t="shared" si="5"/>
        <v>TADigital NA Digital - Sr. Enterprise Architect / Prin. Data Scientist</v>
      </c>
    </row>
    <row r="291" spans="1:5" x14ac:dyDescent="0.3">
      <c r="A291" s="113" t="s">
        <v>765</v>
      </c>
      <c r="B291" s="113" t="s">
        <v>558</v>
      </c>
      <c r="C291" s="114">
        <v>162.5</v>
      </c>
      <c r="D291" s="114">
        <v>2520</v>
      </c>
      <c r="E291" t="str">
        <f t="shared" si="5"/>
        <v>TADigital NA Digital - Prin. Enterprise Arch. / Sr. Prin. Data Scientist</v>
      </c>
    </row>
    <row r="292" spans="1:5" x14ac:dyDescent="0.3">
      <c r="A292" s="113" t="s">
        <v>765</v>
      </c>
      <c r="B292" s="113" t="s">
        <v>560</v>
      </c>
      <c r="C292" s="114">
        <v>207.5</v>
      </c>
      <c r="D292" s="114">
        <v>2960</v>
      </c>
      <c r="E292" t="str">
        <f t="shared" si="5"/>
        <v>TADigital NA Digital - Chief Enterprise Architect / Chief Data Scientist</v>
      </c>
    </row>
    <row r="293" spans="1:5" x14ac:dyDescent="0.3">
      <c r="A293" s="113" t="s">
        <v>765</v>
      </c>
      <c r="B293" s="113" t="s">
        <v>380</v>
      </c>
      <c r="C293" s="114">
        <v>97.5</v>
      </c>
      <c r="D293" s="114">
        <v>1280</v>
      </c>
      <c r="E293" t="str">
        <f t="shared" si="5"/>
        <v>TADigital NA Digital - Business Analyst</v>
      </c>
    </row>
    <row r="294" spans="1:5" x14ac:dyDescent="0.3">
      <c r="A294" s="113" t="s">
        <v>765</v>
      </c>
      <c r="B294" s="113" t="s">
        <v>563</v>
      </c>
      <c r="C294" s="114">
        <v>105</v>
      </c>
      <c r="D294" s="114">
        <v>1480</v>
      </c>
      <c r="E294" t="str">
        <f t="shared" si="5"/>
        <v>TADigital NA Digital - Sr. Business Analyst</v>
      </c>
    </row>
    <row r="295" spans="1:5" x14ac:dyDescent="0.3">
      <c r="A295" s="113" t="s">
        <v>765</v>
      </c>
      <c r="B295" s="113" t="s">
        <v>565</v>
      </c>
      <c r="C295" s="114">
        <v>107.5</v>
      </c>
      <c r="D295" s="114">
        <v>1560</v>
      </c>
      <c r="E295" t="str">
        <f t="shared" si="5"/>
        <v>TADigital NA Digital - BA Lead</v>
      </c>
    </row>
    <row r="296" spans="1:5" x14ac:dyDescent="0.3">
      <c r="A296" s="113" t="s">
        <v>765</v>
      </c>
      <c r="B296" s="113" t="s">
        <v>567</v>
      </c>
      <c r="C296" s="114">
        <v>75</v>
      </c>
      <c r="D296" s="114">
        <v>1000</v>
      </c>
      <c r="E296" t="str">
        <f t="shared" si="5"/>
        <v>TADigital NA Digital - QA Engineer</v>
      </c>
    </row>
    <row r="297" spans="1:5" x14ac:dyDescent="0.3">
      <c r="A297" s="113" t="s">
        <v>765</v>
      </c>
      <c r="B297" s="113" t="s">
        <v>569</v>
      </c>
      <c r="C297" s="114">
        <v>80</v>
      </c>
      <c r="D297" s="114">
        <v>1160</v>
      </c>
      <c r="E297" t="str">
        <f t="shared" si="5"/>
        <v>TADigital NA Digital - Sr. QA Engineer</v>
      </c>
    </row>
    <row r="298" spans="1:5" x14ac:dyDescent="0.3">
      <c r="A298" s="113" t="s">
        <v>765</v>
      </c>
      <c r="B298" s="113" t="s">
        <v>571</v>
      </c>
      <c r="C298" s="114">
        <v>82.5</v>
      </c>
      <c r="D298" s="114">
        <v>1360</v>
      </c>
      <c r="E298" t="str">
        <f t="shared" si="5"/>
        <v>TADigital NA Digital - QA Lead</v>
      </c>
    </row>
    <row r="299" spans="1:5" x14ac:dyDescent="0.3">
      <c r="A299" s="113" t="s">
        <v>765</v>
      </c>
      <c r="B299" s="113" t="s">
        <v>573</v>
      </c>
      <c r="C299" s="114">
        <v>85</v>
      </c>
      <c r="D299" s="114">
        <v>1520</v>
      </c>
      <c r="E299" t="str">
        <f t="shared" si="5"/>
        <v>TADigital NA Digital - QA Manager</v>
      </c>
    </row>
    <row r="300" spans="1:5" x14ac:dyDescent="0.3">
      <c r="A300" s="113" t="s">
        <v>765</v>
      </c>
      <c r="B300" s="113" t="s">
        <v>329</v>
      </c>
      <c r="C300" s="114">
        <v>70</v>
      </c>
      <c r="D300" s="114">
        <v>1040</v>
      </c>
      <c r="E300" t="str">
        <f t="shared" si="5"/>
        <v>TADigital NA Digital - DevOps Engineer</v>
      </c>
    </row>
    <row r="301" spans="1:5" x14ac:dyDescent="0.3">
      <c r="A301" s="113" t="s">
        <v>765</v>
      </c>
      <c r="B301" s="113" t="s">
        <v>576</v>
      </c>
      <c r="C301" s="114">
        <v>80</v>
      </c>
      <c r="D301" s="114">
        <v>1280</v>
      </c>
      <c r="E301" t="str">
        <f t="shared" si="5"/>
        <v>TADigital NA Digital - Sr. DevOps Engineer</v>
      </c>
    </row>
    <row r="302" spans="1:5" x14ac:dyDescent="0.3">
      <c r="A302" s="113" t="s">
        <v>765</v>
      </c>
      <c r="B302" s="113" t="s">
        <v>578</v>
      </c>
      <c r="C302" s="114">
        <v>105</v>
      </c>
      <c r="D302" s="114">
        <v>1480</v>
      </c>
      <c r="E302" t="str">
        <f t="shared" si="5"/>
        <v>TADigital NA Digital - DevOps Lead</v>
      </c>
    </row>
    <row r="303" spans="1:5" x14ac:dyDescent="0.3">
      <c r="A303" s="113" t="s">
        <v>765</v>
      </c>
      <c r="B303" s="113" t="s">
        <v>580</v>
      </c>
      <c r="C303" s="114">
        <v>120</v>
      </c>
      <c r="D303" s="114">
        <v>1880</v>
      </c>
      <c r="E303" t="str">
        <f t="shared" si="5"/>
        <v>TADigital NA Digital - DevOps Architect</v>
      </c>
    </row>
    <row r="304" spans="1:5" x14ac:dyDescent="0.3">
      <c r="A304" s="113" t="s">
        <v>765</v>
      </c>
      <c r="B304" s="113" t="s">
        <v>582</v>
      </c>
      <c r="C304" s="114">
        <v>132.5</v>
      </c>
      <c r="D304" s="114">
        <v>2120</v>
      </c>
      <c r="E304" t="str">
        <f t="shared" si="5"/>
        <v>TADigital NA Digital - Enterprise DevOps Architect</v>
      </c>
    </row>
    <row r="305" spans="1:5" x14ac:dyDescent="0.3">
      <c r="A305" s="113" t="s">
        <v>765</v>
      </c>
      <c r="B305" s="113" t="s">
        <v>584</v>
      </c>
      <c r="C305" s="114">
        <v>80</v>
      </c>
      <c r="D305" s="114">
        <v>1080</v>
      </c>
      <c r="E305" t="str">
        <f t="shared" si="5"/>
        <v>TADigital NA Digital - Marketing Analyst</v>
      </c>
    </row>
    <row r="306" spans="1:5" x14ac:dyDescent="0.3">
      <c r="A306" s="113" t="s">
        <v>765</v>
      </c>
      <c r="B306" s="113" t="s">
        <v>586</v>
      </c>
      <c r="C306" s="114">
        <v>90</v>
      </c>
      <c r="D306" s="114">
        <v>1280</v>
      </c>
      <c r="E306" t="str">
        <f t="shared" si="5"/>
        <v>TADigital NA Digital - Sr. Marketing Analyst</v>
      </c>
    </row>
    <row r="307" spans="1:5" x14ac:dyDescent="0.3">
      <c r="A307" s="113" t="s">
        <v>765</v>
      </c>
      <c r="B307" s="113" t="s">
        <v>588</v>
      </c>
      <c r="C307" s="114">
        <v>105</v>
      </c>
      <c r="D307" s="114">
        <v>1480</v>
      </c>
      <c r="E307" t="str">
        <f t="shared" si="5"/>
        <v>TADigital NA Digital - Marketing Lead</v>
      </c>
    </row>
    <row r="308" spans="1:5" x14ac:dyDescent="0.3">
      <c r="A308" s="113" t="s">
        <v>765</v>
      </c>
      <c r="B308" s="113" t="s">
        <v>590</v>
      </c>
      <c r="C308" s="114">
        <v>120</v>
      </c>
      <c r="D308" s="114">
        <v>1680</v>
      </c>
      <c r="E308" t="str">
        <f t="shared" si="5"/>
        <v>TADigital NA Digital - Marketing Architect</v>
      </c>
    </row>
    <row r="309" spans="1:5" x14ac:dyDescent="0.3">
      <c r="A309" s="113" t="s">
        <v>765</v>
      </c>
      <c r="B309" s="113" t="s">
        <v>592</v>
      </c>
      <c r="C309" s="114">
        <v>172.5</v>
      </c>
      <c r="D309" s="114">
        <v>2960</v>
      </c>
      <c r="E309" t="str">
        <f t="shared" si="5"/>
        <v>TADigital NA Digital - Practice VP / Delivery VP</v>
      </c>
    </row>
    <row r="310" spans="1:5" x14ac:dyDescent="0.3">
      <c r="A310" s="113" t="s">
        <v>767</v>
      </c>
      <c r="B310" s="113" t="s">
        <v>768</v>
      </c>
      <c r="C310" s="114">
        <v>0</v>
      </c>
      <c r="D310" s="114">
        <v>0</v>
      </c>
    </row>
    <row r="311" spans="1:5" x14ac:dyDescent="0.3">
      <c r="A311" s="113" t="s">
        <v>767</v>
      </c>
      <c r="B311" s="113" t="s">
        <v>769</v>
      </c>
      <c r="C311" s="114">
        <v>0</v>
      </c>
      <c r="D311" s="114">
        <v>0</v>
      </c>
    </row>
    <row r="312" spans="1:5" x14ac:dyDescent="0.3">
      <c r="A312" s="113" t="s">
        <v>767</v>
      </c>
      <c r="B312" s="113" t="s">
        <v>770</v>
      </c>
      <c r="C312" s="114">
        <v>0</v>
      </c>
      <c r="D312" s="114">
        <v>0</v>
      </c>
    </row>
    <row r="313" spans="1:5" x14ac:dyDescent="0.3">
      <c r="A313" s="113" t="s">
        <v>767</v>
      </c>
      <c r="B313" s="113" t="s">
        <v>771</v>
      </c>
      <c r="C313" s="114">
        <v>0</v>
      </c>
      <c r="D313" s="114">
        <v>0</v>
      </c>
    </row>
    <row r="314" spans="1:5" x14ac:dyDescent="0.3">
      <c r="A314" s="113" t="s">
        <v>767</v>
      </c>
      <c r="B314" s="113" t="s">
        <v>772</v>
      </c>
      <c r="C314" s="114">
        <v>0</v>
      </c>
      <c r="D314" s="114">
        <v>0</v>
      </c>
    </row>
    <row r="315" spans="1:5" x14ac:dyDescent="0.3">
      <c r="A315" s="113" t="s">
        <v>767</v>
      </c>
      <c r="B315" s="113" t="s">
        <v>773</v>
      </c>
      <c r="C315" s="114">
        <v>0</v>
      </c>
      <c r="D315" s="114">
        <v>0</v>
      </c>
    </row>
    <row r="316" spans="1:5" x14ac:dyDescent="0.3">
      <c r="A316" s="113" t="s">
        <v>767</v>
      </c>
      <c r="B316" s="113" t="s">
        <v>774</v>
      </c>
      <c r="C316" s="114">
        <v>0</v>
      </c>
      <c r="D316" s="114">
        <v>0</v>
      </c>
    </row>
    <row r="317" spans="1:5" x14ac:dyDescent="0.3">
      <c r="A317" s="113" t="s">
        <v>767</v>
      </c>
      <c r="B317" s="113" t="s">
        <v>775</v>
      </c>
      <c r="C317" s="114">
        <v>0</v>
      </c>
      <c r="D317" s="114">
        <v>0</v>
      </c>
    </row>
    <row r="318" spans="1:5" x14ac:dyDescent="0.3">
      <c r="A318" s="113" t="s">
        <v>767</v>
      </c>
      <c r="B318" s="113" t="s">
        <v>776</v>
      </c>
      <c r="C318" s="114">
        <v>0</v>
      </c>
      <c r="D318" s="114">
        <v>0</v>
      </c>
    </row>
    <row r="319" spans="1:5" x14ac:dyDescent="0.3">
      <c r="A319" s="113" t="s">
        <v>767</v>
      </c>
      <c r="B319" s="113" t="s">
        <v>777</v>
      </c>
      <c r="C319" s="114">
        <v>0</v>
      </c>
      <c r="D319" s="114">
        <v>0</v>
      </c>
    </row>
    <row r="320" spans="1:5" x14ac:dyDescent="0.3">
      <c r="A320" s="113" t="s">
        <v>767</v>
      </c>
      <c r="B320" s="113" t="s">
        <v>778</v>
      </c>
      <c r="C320" s="114">
        <v>0</v>
      </c>
      <c r="D320" s="114">
        <v>0</v>
      </c>
    </row>
    <row r="321" spans="1:4" x14ac:dyDescent="0.3">
      <c r="A321" s="113" t="s">
        <v>767</v>
      </c>
      <c r="B321" s="113" t="s">
        <v>779</v>
      </c>
      <c r="C321" s="114">
        <v>0</v>
      </c>
      <c r="D321" s="114">
        <v>0</v>
      </c>
    </row>
    <row r="322" spans="1:4" x14ac:dyDescent="0.3">
      <c r="A322" s="113" t="s">
        <v>767</v>
      </c>
      <c r="B322" s="113" t="s">
        <v>780</v>
      </c>
      <c r="C322" s="114">
        <v>0</v>
      </c>
      <c r="D322" s="114">
        <v>0</v>
      </c>
    </row>
    <row r="323" spans="1:4" x14ac:dyDescent="0.3">
      <c r="A323" s="113" t="s">
        <v>767</v>
      </c>
      <c r="B323" s="113" t="s">
        <v>781</v>
      </c>
      <c r="C323" s="114">
        <v>0</v>
      </c>
      <c r="D323" s="114">
        <v>0</v>
      </c>
    </row>
    <row r="324" spans="1:4" x14ac:dyDescent="0.3">
      <c r="A324" s="113" t="s">
        <v>767</v>
      </c>
      <c r="B324" s="113" t="s">
        <v>782</v>
      </c>
      <c r="C324" s="114">
        <v>0</v>
      </c>
      <c r="D324" s="114">
        <v>0</v>
      </c>
    </row>
    <row r="325" spans="1:4" x14ac:dyDescent="0.3">
      <c r="A325" s="113" t="s">
        <v>767</v>
      </c>
      <c r="B325" s="113" t="s">
        <v>783</v>
      </c>
      <c r="C325" s="114">
        <v>0</v>
      </c>
      <c r="D325" s="114">
        <v>0</v>
      </c>
    </row>
    <row r="326" spans="1:4" x14ac:dyDescent="0.3">
      <c r="A326" s="113" t="s">
        <v>767</v>
      </c>
      <c r="B326" s="113" t="s">
        <v>784</v>
      </c>
      <c r="C326" s="114">
        <v>0</v>
      </c>
      <c r="D326" s="114">
        <v>0</v>
      </c>
    </row>
    <row r="327" spans="1:4" x14ac:dyDescent="0.3">
      <c r="A327" s="113" t="s">
        <v>767</v>
      </c>
      <c r="B327" s="113" t="s">
        <v>785</v>
      </c>
      <c r="C327" s="114">
        <v>0</v>
      </c>
      <c r="D327" s="114">
        <v>0</v>
      </c>
    </row>
    <row r="328" spans="1:4" x14ac:dyDescent="0.3">
      <c r="A328" s="113" t="s">
        <v>767</v>
      </c>
      <c r="B328" s="113" t="s">
        <v>786</v>
      </c>
      <c r="C328" s="114">
        <v>0</v>
      </c>
      <c r="D328" s="114">
        <v>0</v>
      </c>
    </row>
    <row r="329" spans="1:4" x14ac:dyDescent="0.3">
      <c r="A329" s="113" t="s">
        <v>767</v>
      </c>
      <c r="B329" s="113" t="s">
        <v>787</v>
      </c>
      <c r="C329" s="114">
        <v>0</v>
      </c>
      <c r="D329" s="114">
        <v>0</v>
      </c>
    </row>
    <row r="330" spans="1:4" x14ac:dyDescent="0.3">
      <c r="A330" s="113" t="s">
        <v>767</v>
      </c>
      <c r="B330" s="113" t="s">
        <v>788</v>
      </c>
      <c r="C330" s="114">
        <v>0</v>
      </c>
      <c r="D330" s="114">
        <v>0</v>
      </c>
    </row>
    <row r="331" spans="1:4" x14ac:dyDescent="0.3">
      <c r="A331" s="113" t="s">
        <v>767</v>
      </c>
      <c r="B331" s="113" t="s">
        <v>789</v>
      </c>
      <c r="C331" s="114">
        <v>0</v>
      </c>
      <c r="D331" s="114">
        <v>0</v>
      </c>
    </row>
    <row r="332" spans="1:4" x14ac:dyDescent="0.3">
      <c r="A332" s="113" t="s">
        <v>767</v>
      </c>
      <c r="B332" s="113" t="s">
        <v>790</v>
      </c>
      <c r="C332" s="114">
        <v>0</v>
      </c>
      <c r="D332" s="114">
        <v>0</v>
      </c>
    </row>
    <row r="333" spans="1:4" x14ac:dyDescent="0.3">
      <c r="A333" s="113" t="s">
        <v>767</v>
      </c>
      <c r="B333" s="113" t="s">
        <v>791</v>
      </c>
      <c r="C333" s="114">
        <v>0</v>
      </c>
      <c r="D333" s="114">
        <v>0</v>
      </c>
    </row>
    <row r="334" spans="1:4" x14ac:dyDescent="0.3">
      <c r="A334" s="113" t="s">
        <v>767</v>
      </c>
      <c r="B334" s="113" t="s">
        <v>792</v>
      </c>
      <c r="C334" s="114">
        <v>0</v>
      </c>
      <c r="D334" s="114">
        <v>0</v>
      </c>
    </row>
    <row r="335" spans="1:4" x14ac:dyDescent="0.3">
      <c r="A335" s="113" t="s">
        <v>767</v>
      </c>
      <c r="B335" s="113" t="s">
        <v>793</v>
      </c>
      <c r="C335" s="114">
        <v>0</v>
      </c>
      <c r="D335" s="114">
        <v>0</v>
      </c>
    </row>
    <row r="336" spans="1:4" x14ac:dyDescent="0.3">
      <c r="A336" s="113" t="s">
        <v>767</v>
      </c>
      <c r="B336" s="113" t="s">
        <v>794</v>
      </c>
      <c r="C336" s="114">
        <v>0</v>
      </c>
      <c r="D336" s="114">
        <v>0</v>
      </c>
    </row>
    <row r="337" spans="1:4" x14ac:dyDescent="0.3">
      <c r="A337" s="113" t="s">
        <v>767</v>
      </c>
      <c r="B337" s="113" t="s">
        <v>795</v>
      </c>
      <c r="C337" s="114">
        <v>0</v>
      </c>
      <c r="D337" s="114">
        <v>0</v>
      </c>
    </row>
    <row r="338" spans="1:4" x14ac:dyDescent="0.3">
      <c r="A338" s="113" t="s">
        <v>767</v>
      </c>
      <c r="B338" s="113" t="s">
        <v>796</v>
      </c>
      <c r="C338" s="114">
        <v>0</v>
      </c>
      <c r="D338" s="114">
        <v>0</v>
      </c>
    </row>
    <row r="339" spans="1:4" x14ac:dyDescent="0.3">
      <c r="A339" s="113" t="s">
        <v>767</v>
      </c>
      <c r="B339" s="113" t="s">
        <v>797</v>
      </c>
      <c r="C339" s="114">
        <v>0</v>
      </c>
      <c r="D339" s="114">
        <v>0</v>
      </c>
    </row>
    <row r="340" spans="1:4" x14ac:dyDescent="0.3">
      <c r="A340" s="113" t="s">
        <v>767</v>
      </c>
      <c r="B340" s="113" t="s">
        <v>798</v>
      </c>
      <c r="C340" s="114">
        <v>0</v>
      </c>
      <c r="D340" s="114">
        <v>0</v>
      </c>
    </row>
    <row r="341" spans="1:4" x14ac:dyDescent="0.3">
      <c r="A341" s="113" t="s">
        <v>767</v>
      </c>
      <c r="B341" s="113" t="s">
        <v>799</v>
      </c>
      <c r="C341" s="114">
        <v>0</v>
      </c>
      <c r="D341" s="114">
        <v>0</v>
      </c>
    </row>
    <row r="342" spans="1:4" x14ac:dyDescent="0.3">
      <c r="A342" s="113" t="s">
        <v>767</v>
      </c>
      <c r="B342" s="113" t="s">
        <v>800</v>
      </c>
      <c r="C342" s="114">
        <v>0</v>
      </c>
      <c r="D342" s="114">
        <v>0</v>
      </c>
    </row>
    <row r="343" spans="1:4" x14ac:dyDescent="0.3">
      <c r="A343" s="113" t="s">
        <v>767</v>
      </c>
      <c r="B343" s="113" t="s">
        <v>801</v>
      </c>
      <c r="C343" s="114">
        <v>0</v>
      </c>
      <c r="D343" s="114">
        <v>0</v>
      </c>
    </row>
    <row r="344" spans="1:4" x14ac:dyDescent="0.3">
      <c r="A344" s="113" t="s">
        <v>767</v>
      </c>
      <c r="B344" s="113" t="s">
        <v>802</v>
      </c>
      <c r="C344" s="114">
        <v>0</v>
      </c>
      <c r="D344" s="114">
        <v>0</v>
      </c>
    </row>
    <row r="345" spans="1:4" x14ac:dyDescent="0.3">
      <c r="A345" s="113" t="s">
        <v>767</v>
      </c>
      <c r="B345" s="113" t="s">
        <v>803</v>
      </c>
      <c r="C345" s="114">
        <v>0</v>
      </c>
      <c r="D345" s="114">
        <v>0</v>
      </c>
    </row>
    <row r="346" spans="1:4" x14ac:dyDescent="0.3">
      <c r="A346" s="113" t="s">
        <v>767</v>
      </c>
      <c r="B346" s="113" t="s">
        <v>804</v>
      </c>
      <c r="C346" s="114">
        <v>0</v>
      </c>
      <c r="D346" s="114">
        <v>0</v>
      </c>
    </row>
    <row r="347" spans="1:4" x14ac:dyDescent="0.3">
      <c r="A347" s="113" t="s">
        <v>767</v>
      </c>
      <c r="B347" s="113" t="s">
        <v>805</v>
      </c>
      <c r="C347" s="114">
        <v>0</v>
      </c>
      <c r="D347" s="114">
        <v>0</v>
      </c>
    </row>
    <row r="348" spans="1:4" x14ac:dyDescent="0.3">
      <c r="A348" s="113" t="s">
        <v>767</v>
      </c>
      <c r="B348" s="113" t="s">
        <v>806</v>
      </c>
      <c r="C348" s="114">
        <v>0</v>
      </c>
      <c r="D348" s="114">
        <v>0</v>
      </c>
    </row>
    <row r="349" spans="1:4" x14ac:dyDescent="0.3">
      <c r="A349" s="113" t="s">
        <v>767</v>
      </c>
      <c r="B349" s="113" t="s">
        <v>807</v>
      </c>
      <c r="C349" s="114">
        <v>0</v>
      </c>
      <c r="D349" s="114">
        <v>0</v>
      </c>
    </row>
    <row r="350" spans="1:4" x14ac:dyDescent="0.3">
      <c r="A350" s="113" t="s">
        <v>767</v>
      </c>
      <c r="B350" s="113" t="s">
        <v>808</v>
      </c>
      <c r="C350" s="114">
        <v>0</v>
      </c>
      <c r="D350" s="114">
        <v>0</v>
      </c>
    </row>
    <row r="351" spans="1:4" x14ac:dyDescent="0.3">
      <c r="A351" s="113" t="s">
        <v>767</v>
      </c>
      <c r="B351" s="113" t="s">
        <v>809</v>
      </c>
      <c r="C351" s="114">
        <v>0</v>
      </c>
      <c r="D351" s="114">
        <v>0</v>
      </c>
    </row>
    <row r="352" spans="1:4" x14ac:dyDescent="0.3">
      <c r="A352" s="113" t="s">
        <v>767</v>
      </c>
      <c r="B352" s="113" t="s">
        <v>810</v>
      </c>
      <c r="C352" s="114">
        <v>0</v>
      </c>
      <c r="D352" s="114">
        <v>0</v>
      </c>
    </row>
    <row r="353" spans="1:4" x14ac:dyDescent="0.3">
      <c r="A353" s="113" t="s">
        <v>767</v>
      </c>
      <c r="B353" s="113" t="s">
        <v>811</v>
      </c>
      <c r="C353" s="114">
        <v>0</v>
      </c>
      <c r="D353" s="114">
        <v>0</v>
      </c>
    </row>
    <row r="354" spans="1:4" x14ac:dyDescent="0.3">
      <c r="A354" s="113" t="s">
        <v>767</v>
      </c>
      <c r="B354" s="113" t="s">
        <v>812</v>
      </c>
      <c r="C354" s="114">
        <v>0</v>
      </c>
      <c r="D354" s="114">
        <v>0</v>
      </c>
    </row>
    <row r="355" spans="1:4" x14ac:dyDescent="0.3">
      <c r="A355" s="113" t="s">
        <v>767</v>
      </c>
      <c r="B355" s="113" t="s">
        <v>813</v>
      </c>
      <c r="C355" s="114">
        <v>0</v>
      </c>
      <c r="D355" s="114">
        <v>0</v>
      </c>
    </row>
    <row r="356" spans="1:4" x14ac:dyDescent="0.3">
      <c r="A356" s="113" t="s">
        <v>767</v>
      </c>
      <c r="B356" s="113" t="s">
        <v>814</v>
      </c>
      <c r="C356" s="114">
        <v>0</v>
      </c>
      <c r="D356" s="114">
        <v>0</v>
      </c>
    </row>
    <row r="357" spans="1:4" x14ac:dyDescent="0.3">
      <c r="A357" s="113" t="s">
        <v>767</v>
      </c>
      <c r="B357" s="113" t="s">
        <v>815</v>
      </c>
      <c r="C357" s="114">
        <v>0</v>
      </c>
      <c r="D357" s="114">
        <v>0</v>
      </c>
    </row>
    <row r="358" spans="1:4" x14ac:dyDescent="0.3">
      <c r="A358" s="113" t="s">
        <v>767</v>
      </c>
      <c r="B358" s="113" t="s">
        <v>816</v>
      </c>
      <c r="C358" s="114">
        <v>0</v>
      </c>
      <c r="D358" s="114">
        <v>0</v>
      </c>
    </row>
    <row r="359" spans="1:4" x14ac:dyDescent="0.3">
      <c r="A359" s="113" t="s">
        <v>767</v>
      </c>
      <c r="B359" s="113" t="s">
        <v>817</v>
      </c>
      <c r="C359" s="114">
        <v>0</v>
      </c>
      <c r="D359" s="114">
        <v>0</v>
      </c>
    </row>
    <row r="360" spans="1:4" x14ac:dyDescent="0.3">
      <c r="A360" s="113" t="s">
        <v>767</v>
      </c>
      <c r="B360" s="113" t="s">
        <v>818</v>
      </c>
      <c r="C360" s="114">
        <v>0</v>
      </c>
      <c r="D360" s="114">
        <v>0</v>
      </c>
    </row>
    <row r="361" spans="1:4" x14ac:dyDescent="0.3">
      <c r="A361" s="113" t="s">
        <v>767</v>
      </c>
      <c r="B361" s="113" t="s">
        <v>819</v>
      </c>
      <c r="C361" s="114">
        <v>0</v>
      </c>
      <c r="D361" s="114">
        <v>0</v>
      </c>
    </row>
    <row r="362" spans="1:4" x14ac:dyDescent="0.3">
      <c r="A362" s="113" t="s">
        <v>767</v>
      </c>
      <c r="B362" s="113" t="s">
        <v>820</v>
      </c>
      <c r="C362" s="114">
        <v>0</v>
      </c>
      <c r="D362" s="114">
        <v>0</v>
      </c>
    </row>
    <row r="363" spans="1:4" x14ac:dyDescent="0.3">
      <c r="A363" s="113" t="s">
        <v>767</v>
      </c>
      <c r="B363" s="113" t="s">
        <v>821</v>
      </c>
      <c r="C363" s="114">
        <v>0</v>
      </c>
      <c r="D363" s="114">
        <v>0</v>
      </c>
    </row>
    <row r="364" spans="1:4" x14ac:dyDescent="0.3">
      <c r="A364" s="113" t="s">
        <v>767</v>
      </c>
      <c r="B364" s="113" t="s">
        <v>822</v>
      </c>
      <c r="C364" s="114">
        <v>0</v>
      </c>
      <c r="D364" s="114">
        <v>0</v>
      </c>
    </row>
    <row r="365" spans="1:4" x14ac:dyDescent="0.3">
      <c r="A365" s="113" t="s">
        <v>767</v>
      </c>
      <c r="B365" s="113" t="s">
        <v>823</v>
      </c>
      <c r="C365" s="114">
        <v>0</v>
      </c>
      <c r="D365" s="114">
        <v>0</v>
      </c>
    </row>
    <row r="366" spans="1:4" x14ac:dyDescent="0.3">
      <c r="A366" s="113" t="s">
        <v>767</v>
      </c>
      <c r="B366" s="113" t="s">
        <v>824</v>
      </c>
      <c r="C366" s="114">
        <v>0</v>
      </c>
      <c r="D366" s="114">
        <v>0</v>
      </c>
    </row>
    <row r="367" spans="1:4" x14ac:dyDescent="0.3">
      <c r="A367" s="113" t="s">
        <v>767</v>
      </c>
      <c r="B367" s="113" t="s">
        <v>825</v>
      </c>
      <c r="C367" s="114">
        <v>0</v>
      </c>
      <c r="D367" s="114">
        <v>0</v>
      </c>
    </row>
    <row r="368" spans="1:4" x14ac:dyDescent="0.3">
      <c r="A368" s="113" t="s">
        <v>767</v>
      </c>
      <c r="B368" s="113" t="s">
        <v>826</v>
      </c>
      <c r="C368" s="114">
        <v>0</v>
      </c>
      <c r="D368" s="114">
        <v>0</v>
      </c>
    </row>
    <row r="369" spans="1:4" x14ac:dyDescent="0.3">
      <c r="A369" s="113" t="s">
        <v>767</v>
      </c>
      <c r="B369" s="113" t="s">
        <v>827</v>
      </c>
      <c r="C369" s="114">
        <v>0</v>
      </c>
      <c r="D369" s="114">
        <v>0</v>
      </c>
    </row>
    <row r="370" spans="1:4" x14ac:dyDescent="0.3">
      <c r="A370" s="113" t="s">
        <v>767</v>
      </c>
      <c r="B370" s="113" t="s">
        <v>828</v>
      </c>
      <c r="C370" s="114">
        <v>0</v>
      </c>
      <c r="D370" s="114">
        <v>0</v>
      </c>
    </row>
    <row r="371" spans="1:4" x14ac:dyDescent="0.3">
      <c r="A371" s="113" t="s">
        <v>767</v>
      </c>
      <c r="B371" s="113" t="s">
        <v>829</v>
      </c>
      <c r="C371" s="114">
        <v>0</v>
      </c>
      <c r="D371" s="114">
        <v>0</v>
      </c>
    </row>
    <row r="372" spans="1:4" x14ac:dyDescent="0.3">
      <c r="A372" s="113" t="s">
        <v>767</v>
      </c>
      <c r="B372" s="113" t="s">
        <v>830</v>
      </c>
      <c r="C372" s="114">
        <v>0</v>
      </c>
      <c r="D372" s="114">
        <v>0</v>
      </c>
    </row>
    <row r="373" spans="1:4" x14ac:dyDescent="0.3">
      <c r="A373" s="113" t="s">
        <v>767</v>
      </c>
      <c r="B373" s="113" t="s">
        <v>831</v>
      </c>
      <c r="C373" s="114">
        <v>0</v>
      </c>
      <c r="D373" s="114">
        <v>0</v>
      </c>
    </row>
    <row r="374" spans="1:4" x14ac:dyDescent="0.3">
      <c r="A374" s="113" t="s">
        <v>767</v>
      </c>
      <c r="B374" s="113" t="s">
        <v>832</v>
      </c>
      <c r="C374" s="114">
        <v>0</v>
      </c>
      <c r="D374" s="114">
        <v>0</v>
      </c>
    </row>
    <row r="375" spans="1:4" x14ac:dyDescent="0.3">
      <c r="A375" s="113" t="s">
        <v>767</v>
      </c>
      <c r="B375" s="113" t="s">
        <v>833</v>
      </c>
      <c r="C375" s="114">
        <v>0</v>
      </c>
      <c r="D375" s="114">
        <v>0</v>
      </c>
    </row>
    <row r="376" spans="1:4" x14ac:dyDescent="0.3">
      <c r="A376" s="113" t="s">
        <v>767</v>
      </c>
      <c r="B376" s="113" t="s">
        <v>834</v>
      </c>
      <c r="C376" s="114">
        <v>0</v>
      </c>
      <c r="D376" s="114">
        <v>0</v>
      </c>
    </row>
    <row r="377" spans="1:4" x14ac:dyDescent="0.3">
      <c r="A377" s="113" t="s">
        <v>767</v>
      </c>
      <c r="B377" s="113" t="s">
        <v>835</v>
      </c>
      <c r="C377" s="114">
        <v>0</v>
      </c>
      <c r="D377" s="114">
        <v>0</v>
      </c>
    </row>
    <row r="378" spans="1:4" x14ac:dyDescent="0.3">
      <c r="A378" s="113" t="s">
        <v>767</v>
      </c>
      <c r="B378" s="113" t="s">
        <v>836</v>
      </c>
      <c r="C378" s="114">
        <v>0</v>
      </c>
      <c r="D378" s="114">
        <v>0</v>
      </c>
    </row>
    <row r="379" spans="1:4" x14ac:dyDescent="0.3">
      <c r="A379" s="113" t="s">
        <v>767</v>
      </c>
      <c r="B379" s="113" t="s">
        <v>837</v>
      </c>
      <c r="C379" s="114">
        <v>0</v>
      </c>
      <c r="D379" s="114">
        <v>0</v>
      </c>
    </row>
    <row r="380" spans="1:4" x14ac:dyDescent="0.3">
      <c r="A380" s="113" t="s">
        <v>767</v>
      </c>
      <c r="B380" s="113" t="s">
        <v>838</v>
      </c>
      <c r="C380" s="114">
        <v>0</v>
      </c>
      <c r="D380" s="114">
        <v>0</v>
      </c>
    </row>
    <row r="381" spans="1:4" x14ac:dyDescent="0.3">
      <c r="A381" s="113" t="s">
        <v>767</v>
      </c>
      <c r="B381" s="113" t="s">
        <v>839</v>
      </c>
      <c r="C381" s="114">
        <v>0</v>
      </c>
      <c r="D381" s="114">
        <v>0</v>
      </c>
    </row>
    <row r="382" spans="1:4" x14ac:dyDescent="0.3">
      <c r="A382" s="113" t="s">
        <v>767</v>
      </c>
      <c r="B382" s="113" t="s">
        <v>840</v>
      </c>
      <c r="C382" s="114">
        <v>0</v>
      </c>
      <c r="D382" s="114">
        <v>0</v>
      </c>
    </row>
    <row r="383" spans="1:4" x14ac:dyDescent="0.3">
      <c r="A383" s="113" t="s">
        <v>767</v>
      </c>
      <c r="B383" s="113" t="s">
        <v>841</v>
      </c>
      <c r="C383" s="114">
        <v>0</v>
      </c>
      <c r="D383" s="114">
        <v>0</v>
      </c>
    </row>
    <row r="384" spans="1:4" x14ac:dyDescent="0.3">
      <c r="A384" s="113" t="s">
        <v>767</v>
      </c>
      <c r="B384" s="113" t="s">
        <v>842</v>
      </c>
      <c r="C384" s="114">
        <v>0</v>
      </c>
      <c r="D384" s="114">
        <v>0</v>
      </c>
    </row>
    <row r="385" spans="1:4" x14ac:dyDescent="0.3">
      <c r="A385" s="113" t="s">
        <v>767</v>
      </c>
      <c r="B385" s="113" t="s">
        <v>843</v>
      </c>
      <c r="C385" s="114">
        <v>0</v>
      </c>
      <c r="D385" s="114">
        <v>0</v>
      </c>
    </row>
    <row r="386" spans="1:4" x14ac:dyDescent="0.3">
      <c r="A386" s="113" t="s">
        <v>767</v>
      </c>
      <c r="B386" s="113" t="s">
        <v>844</v>
      </c>
      <c r="C386" s="114">
        <v>0</v>
      </c>
      <c r="D386" s="114">
        <v>0</v>
      </c>
    </row>
    <row r="387" spans="1:4" x14ac:dyDescent="0.3">
      <c r="A387" s="113" t="s">
        <v>767</v>
      </c>
      <c r="B387" s="113" t="s">
        <v>845</v>
      </c>
      <c r="C387" s="114">
        <v>0</v>
      </c>
      <c r="D387" s="114">
        <v>0</v>
      </c>
    </row>
    <row r="388" spans="1:4" x14ac:dyDescent="0.3">
      <c r="A388" s="113" t="s">
        <v>767</v>
      </c>
      <c r="B388" s="113" t="s">
        <v>846</v>
      </c>
      <c r="C388" s="114">
        <v>0</v>
      </c>
      <c r="D388" s="114">
        <v>0</v>
      </c>
    </row>
    <row r="389" spans="1:4" x14ac:dyDescent="0.3">
      <c r="A389" s="113" t="s">
        <v>767</v>
      </c>
      <c r="B389" s="113" t="s">
        <v>847</v>
      </c>
      <c r="C389" s="114">
        <v>0</v>
      </c>
      <c r="D389" s="114">
        <v>0</v>
      </c>
    </row>
    <row r="390" spans="1:4" x14ac:dyDescent="0.3">
      <c r="A390" s="113" t="s">
        <v>767</v>
      </c>
      <c r="B390" s="113" t="s">
        <v>848</v>
      </c>
      <c r="C390" s="114">
        <v>0</v>
      </c>
      <c r="D390" s="114">
        <v>0</v>
      </c>
    </row>
    <row r="391" spans="1:4" x14ac:dyDescent="0.3">
      <c r="A391" s="113" t="s">
        <v>767</v>
      </c>
      <c r="B391" s="113" t="s">
        <v>849</v>
      </c>
      <c r="C391" s="114">
        <v>0</v>
      </c>
      <c r="D391" s="114">
        <v>0</v>
      </c>
    </row>
    <row r="392" spans="1:4" x14ac:dyDescent="0.3">
      <c r="A392" s="113" t="s">
        <v>767</v>
      </c>
      <c r="B392" s="113" t="s">
        <v>850</v>
      </c>
      <c r="C392" s="114">
        <v>0</v>
      </c>
      <c r="D392" s="114">
        <v>0</v>
      </c>
    </row>
    <row r="393" spans="1:4" x14ac:dyDescent="0.3">
      <c r="A393" s="113" t="s">
        <v>767</v>
      </c>
      <c r="B393" s="113" t="s">
        <v>851</v>
      </c>
      <c r="C393" s="114">
        <v>0</v>
      </c>
      <c r="D393" s="114">
        <v>0</v>
      </c>
    </row>
    <row r="394" spans="1:4" x14ac:dyDescent="0.3">
      <c r="A394" s="113" t="s">
        <v>767</v>
      </c>
      <c r="B394" s="113" t="s">
        <v>852</v>
      </c>
      <c r="C394" s="114">
        <v>0</v>
      </c>
      <c r="D394" s="114">
        <v>0</v>
      </c>
    </row>
    <row r="395" spans="1:4" x14ac:dyDescent="0.3">
      <c r="A395" s="113" t="s">
        <v>767</v>
      </c>
      <c r="B395" s="113" t="s">
        <v>853</v>
      </c>
      <c r="C395" s="114">
        <v>0</v>
      </c>
      <c r="D395" s="114">
        <v>0</v>
      </c>
    </row>
    <row r="396" spans="1:4" x14ac:dyDescent="0.3">
      <c r="A396" s="113" t="s">
        <v>767</v>
      </c>
      <c r="B396" s="113" t="s">
        <v>854</v>
      </c>
      <c r="C396" s="114">
        <v>0</v>
      </c>
      <c r="D396" s="114">
        <v>0</v>
      </c>
    </row>
    <row r="397" spans="1:4" x14ac:dyDescent="0.3">
      <c r="A397" s="113" t="s">
        <v>767</v>
      </c>
      <c r="B397" s="113" t="s">
        <v>855</v>
      </c>
      <c r="C397" s="114">
        <v>0</v>
      </c>
      <c r="D397" s="114">
        <v>0</v>
      </c>
    </row>
    <row r="398" spans="1:4" x14ac:dyDescent="0.3">
      <c r="A398" s="113" t="s">
        <v>767</v>
      </c>
      <c r="B398" s="113" t="s">
        <v>856</v>
      </c>
      <c r="C398" s="114">
        <v>0</v>
      </c>
      <c r="D398" s="114">
        <v>0</v>
      </c>
    </row>
    <row r="399" spans="1:4" x14ac:dyDescent="0.3">
      <c r="A399" s="113" t="s">
        <v>767</v>
      </c>
      <c r="B399" s="113" t="s">
        <v>857</v>
      </c>
      <c r="C399" s="114">
        <v>0</v>
      </c>
      <c r="D399" s="114">
        <v>0</v>
      </c>
    </row>
    <row r="400" spans="1:4" x14ac:dyDescent="0.3">
      <c r="A400" s="113" t="s">
        <v>767</v>
      </c>
      <c r="B400" s="113" t="s">
        <v>858</v>
      </c>
      <c r="C400" s="114">
        <v>0</v>
      </c>
      <c r="D400" s="114">
        <v>0</v>
      </c>
    </row>
    <row r="401" spans="1:4" x14ac:dyDescent="0.3">
      <c r="A401" s="113" t="s">
        <v>767</v>
      </c>
      <c r="B401" s="113" t="s">
        <v>859</v>
      </c>
      <c r="C401" s="114">
        <v>0</v>
      </c>
      <c r="D401" s="114">
        <v>0</v>
      </c>
    </row>
    <row r="402" spans="1:4" x14ac:dyDescent="0.3">
      <c r="A402" s="113" t="s">
        <v>767</v>
      </c>
      <c r="B402" s="113" t="s">
        <v>860</v>
      </c>
      <c r="C402" s="114">
        <v>0</v>
      </c>
      <c r="D402" s="114">
        <v>0</v>
      </c>
    </row>
    <row r="403" spans="1:4" x14ac:dyDescent="0.3">
      <c r="A403" s="113" t="s">
        <v>767</v>
      </c>
      <c r="B403" s="113" t="s">
        <v>861</v>
      </c>
      <c r="C403" s="114">
        <v>0</v>
      </c>
      <c r="D403" s="114">
        <v>0</v>
      </c>
    </row>
    <row r="404" spans="1:4" x14ac:dyDescent="0.3">
      <c r="A404" s="113" t="s">
        <v>767</v>
      </c>
      <c r="B404" s="113" t="s">
        <v>862</v>
      </c>
      <c r="C404" s="114">
        <v>0</v>
      </c>
      <c r="D404" s="114">
        <v>0</v>
      </c>
    </row>
    <row r="405" spans="1:4" x14ac:dyDescent="0.3">
      <c r="A405" s="113" t="s">
        <v>767</v>
      </c>
      <c r="B405" s="113" t="s">
        <v>863</v>
      </c>
      <c r="C405" s="114">
        <v>0</v>
      </c>
      <c r="D405" s="114">
        <v>0</v>
      </c>
    </row>
    <row r="406" spans="1:4" x14ac:dyDescent="0.3">
      <c r="A406" s="113" t="s">
        <v>767</v>
      </c>
      <c r="B406" s="113" t="s">
        <v>864</v>
      </c>
      <c r="C406" s="114">
        <v>0</v>
      </c>
      <c r="D406" s="114">
        <v>0</v>
      </c>
    </row>
    <row r="407" spans="1:4" x14ac:dyDescent="0.3">
      <c r="A407" s="113" t="s">
        <v>767</v>
      </c>
      <c r="B407" s="113" t="s">
        <v>865</v>
      </c>
      <c r="C407" s="114">
        <v>0</v>
      </c>
      <c r="D407" s="114">
        <v>0</v>
      </c>
    </row>
    <row r="408" spans="1:4" x14ac:dyDescent="0.3">
      <c r="A408" s="113" t="s">
        <v>767</v>
      </c>
      <c r="B408" s="113" t="s">
        <v>866</v>
      </c>
      <c r="C408" s="114">
        <v>0</v>
      </c>
      <c r="D408" s="114">
        <v>0</v>
      </c>
    </row>
    <row r="409" spans="1:4" x14ac:dyDescent="0.3">
      <c r="A409" s="113" t="s">
        <v>767</v>
      </c>
      <c r="B409" s="113" t="s">
        <v>867</v>
      </c>
      <c r="C409" s="114">
        <v>0</v>
      </c>
      <c r="D409" s="114">
        <v>0</v>
      </c>
    </row>
    <row r="410" spans="1:4" x14ac:dyDescent="0.3">
      <c r="A410" s="113" t="s">
        <v>767</v>
      </c>
      <c r="B410" s="113" t="s">
        <v>868</v>
      </c>
      <c r="C410" s="114">
        <v>0</v>
      </c>
      <c r="D410" s="114">
        <v>0</v>
      </c>
    </row>
    <row r="411" spans="1:4" x14ac:dyDescent="0.3">
      <c r="A411" s="113" t="s">
        <v>767</v>
      </c>
      <c r="B411" s="113" t="s">
        <v>869</v>
      </c>
      <c r="C411" s="114">
        <v>0</v>
      </c>
      <c r="D411" s="114">
        <v>0</v>
      </c>
    </row>
    <row r="412" spans="1:4" x14ac:dyDescent="0.3">
      <c r="A412" s="113" t="s">
        <v>767</v>
      </c>
      <c r="B412" s="113" t="s">
        <v>870</v>
      </c>
      <c r="C412" s="114">
        <v>0</v>
      </c>
      <c r="D412" s="114">
        <v>0</v>
      </c>
    </row>
    <row r="413" spans="1:4" x14ac:dyDescent="0.3">
      <c r="A413" s="113" t="s">
        <v>767</v>
      </c>
      <c r="B413" s="113" t="s">
        <v>871</v>
      </c>
      <c r="C413" s="114">
        <v>0</v>
      </c>
      <c r="D413" s="114">
        <v>0</v>
      </c>
    </row>
    <row r="414" spans="1:4" x14ac:dyDescent="0.3">
      <c r="A414" s="113" t="s">
        <v>767</v>
      </c>
      <c r="B414" s="113" t="s">
        <v>872</v>
      </c>
      <c r="C414" s="114">
        <v>0</v>
      </c>
      <c r="D414" s="114">
        <v>0</v>
      </c>
    </row>
    <row r="415" spans="1:4" x14ac:dyDescent="0.3">
      <c r="A415" s="113" t="s">
        <v>767</v>
      </c>
      <c r="B415" s="113" t="s">
        <v>873</v>
      </c>
      <c r="C415" s="114">
        <v>0</v>
      </c>
      <c r="D415" s="114">
        <v>0</v>
      </c>
    </row>
    <row r="416" spans="1:4" x14ac:dyDescent="0.3">
      <c r="A416" s="113" t="s">
        <v>767</v>
      </c>
      <c r="B416" s="113" t="s">
        <v>874</v>
      </c>
      <c r="C416" s="114">
        <v>0</v>
      </c>
      <c r="D416" s="114">
        <v>0</v>
      </c>
    </row>
    <row r="417" spans="1:4" x14ac:dyDescent="0.3">
      <c r="A417" s="113" t="s">
        <v>767</v>
      </c>
      <c r="B417" s="113" t="s">
        <v>875</v>
      </c>
      <c r="C417" s="114">
        <v>0</v>
      </c>
      <c r="D417" s="114">
        <v>0</v>
      </c>
    </row>
    <row r="418" spans="1:4" x14ac:dyDescent="0.3">
      <c r="A418" s="113" t="s">
        <v>767</v>
      </c>
      <c r="B418" s="113" t="s">
        <v>876</v>
      </c>
      <c r="C418" s="114">
        <v>0</v>
      </c>
      <c r="D418" s="114">
        <v>0</v>
      </c>
    </row>
    <row r="419" spans="1:4" x14ac:dyDescent="0.3">
      <c r="A419" s="113" t="s">
        <v>767</v>
      </c>
      <c r="B419" s="113" t="s">
        <v>877</v>
      </c>
      <c r="C419" s="114">
        <v>0</v>
      </c>
      <c r="D419" s="114">
        <v>0</v>
      </c>
    </row>
    <row r="420" spans="1:4" x14ac:dyDescent="0.3">
      <c r="A420" s="113" t="s">
        <v>767</v>
      </c>
      <c r="B420" s="113" t="s">
        <v>878</v>
      </c>
      <c r="C420" s="114">
        <v>0</v>
      </c>
      <c r="D420" s="114">
        <v>0</v>
      </c>
    </row>
    <row r="421" spans="1:4" x14ac:dyDescent="0.3">
      <c r="A421" s="113" t="s">
        <v>767</v>
      </c>
      <c r="B421" s="113" t="s">
        <v>879</v>
      </c>
      <c r="C421" s="114">
        <v>0</v>
      </c>
      <c r="D421" s="114">
        <v>0</v>
      </c>
    </row>
    <row r="422" spans="1:4" x14ac:dyDescent="0.3">
      <c r="A422" s="113" t="s">
        <v>767</v>
      </c>
      <c r="B422" s="113" t="s">
        <v>880</v>
      </c>
      <c r="C422" s="114">
        <v>0</v>
      </c>
      <c r="D422" s="114">
        <v>0</v>
      </c>
    </row>
    <row r="423" spans="1:4" x14ac:dyDescent="0.3">
      <c r="A423" s="113" t="s">
        <v>767</v>
      </c>
      <c r="B423" s="113" t="s">
        <v>881</v>
      </c>
      <c r="C423" s="114">
        <v>0</v>
      </c>
      <c r="D423" s="114">
        <v>0</v>
      </c>
    </row>
    <row r="424" spans="1:4" x14ac:dyDescent="0.3">
      <c r="A424" s="113" t="s">
        <v>882</v>
      </c>
      <c r="B424" s="113" t="s">
        <v>883</v>
      </c>
      <c r="C424" s="114">
        <v>0</v>
      </c>
      <c r="D424" s="114">
        <v>0</v>
      </c>
    </row>
    <row r="425" spans="1:4" x14ac:dyDescent="0.3">
      <c r="A425" s="113" t="s">
        <v>882</v>
      </c>
      <c r="B425" s="113" t="s">
        <v>884</v>
      </c>
      <c r="C425" s="114">
        <v>0</v>
      </c>
      <c r="D425" s="114">
        <v>0</v>
      </c>
    </row>
    <row r="426" spans="1:4" x14ac:dyDescent="0.3">
      <c r="A426" s="113" t="s">
        <v>882</v>
      </c>
      <c r="B426" s="113" t="s">
        <v>885</v>
      </c>
      <c r="C426" s="114">
        <v>0</v>
      </c>
      <c r="D426" s="114">
        <v>0</v>
      </c>
    </row>
    <row r="427" spans="1:4" x14ac:dyDescent="0.3">
      <c r="A427" s="113" t="s">
        <v>882</v>
      </c>
      <c r="B427" s="113" t="s">
        <v>886</v>
      </c>
      <c r="C427" s="114">
        <v>0</v>
      </c>
      <c r="D427" s="114">
        <v>0</v>
      </c>
    </row>
    <row r="428" spans="1:4" x14ac:dyDescent="0.3">
      <c r="A428" s="113" t="s">
        <v>882</v>
      </c>
      <c r="B428" s="113" t="s">
        <v>887</v>
      </c>
      <c r="C428" s="114">
        <v>0</v>
      </c>
      <c r="D428" s="114">
        <v>0</v>
      </c>
    </row>
    <row r="429" spans="1:4" x14ac:dyDescent="0.3">
      <c r="A429" s="113" t="s">
        <v>882</v>
      </c>
      <c r="B429" s="113" t="s">
        <v>888</v>
      </c>
      <c r="C429" s="114">
        <v>0</v>
      </c>
      <c r="D429" s="114">
        <v>0</v>
      </c>
    </row>
    <row r="430" spans="1:4" x14ac:dyDescent="0.3">
      <c r="A430" s="113" t="s">
        <v>882</v>
      </c>
      <c r="B430" s="113" t="s">
        <v>889</v>
      </c>
      <c r="C430" s="114">
        <v>0</v>
      </c>
      <c r="D430" s="114">
        <v>0</v>
      </c>
    </row>
    <row r="431" spans="1:4" x14ac:dyDescent="0.3">
      <c r="A431" s="113" t="s">
        <v>882</v>
      </c>
      <c r="B431" s="113" t="s">
        <v>890</v>
      </c>
      <c r="C431" s="114">
        <v>0</v>
      </c>
      <c r="D431" s="114">
        <v>0</v>
      </c>
    </row>
    <row r="432" spans="1:4" x14ac:dyDescent="0.3">
      <c r="A432" s="113" t="s">
        <v>882</v>
      </c>
      <c r="B432" s="113" t="s">
        <v>891</v>
      </c>
      <c r="C432" s="114">
        <v>0</v>
      </c>
      <c r="D432" s="114">
        <v>0</v>
      </c>
    </row>
    <row r="433" spans="1:4" x14ac:dyDescent="0.3">
      <c r="A433" s="113" t="s">
        <v>882</v>
      </c>
      <c r="B433" s="113" t="s">
        <v>892</v>
      </c>
      <c r="C433" s="114">
        <v>0</v>
      </c>
      <c r="D433" s="114">
        <v>0</v>
      </c>
    </row>
    <row r="434" spans="1:4" x14ac:dyDescent="0.3">
      <c r="A434" s="113" t="s">
        <v>882</v>
      </c>
      <c r="B434" s="113" t="s">
        <v>893</v>
      </c>
      <c r="C434" s="114">
        <v>0</v>
      </c>
      <c r="D434" s="114">
        <v>0</v>
      </c>
    </row>
    <row r="435" spans="1:4" x14ac:dyDescent="0.3">
      <c r="A435" s="113" t="s">
        <v>882</v>
      </c>
      <c r="B435" s="113" t="s">
        <v>894</v>
      </c>
      <c r="C435" s="114">
        <v>0</v>
      </c>
      <c r="D435" s="114">
        <v>0</v>
      </c>
    </row>
    <row r="436" spans="1:4" x14ac:dyDescent="0.3">
      <c r="A436" s="113" t="s">
        <v>882</v>
      </c>
      <c r="B436" s="113" t="s">
        <v>895</v>
      </c>
      <c r="C436" s="114">
        <v>0</v>
      </c>
      <c r="D436" s="114">
        <v>0</v>
      </c>
    </row>
    <row r="437" spans="1:4" x14ac:dyDescent="0.3">
      <c r="A437" s="113" t="s">
        <v>882</v>
      </c>
      <c r="B437" s="113" t="s">
        <v>896</v>
      </c>
      <c r="C437" s="114">
        <v>0</v>
      </c>
      <c r="D437" s="114">
        <v>0</v>
      </c>
    </row>
    <row r="438" spans="1:4" x14ac:dyDescent="0.3">
      <c r="A438" s="113" t="s">
        <v>882</v>
      </c>
      <c r="B438" s="113" t="s">
        <v>897</v>
      </c>
      <c r="C438" s="114">
        <v>0</v>
      </c>
      <c r="D438" s="114">
        <v>0</v>
      </c>
    </row>
    <row r="439" spans="1:4" x14ac:dyDescent="0.3">
      <c r="A439" s="113" t="s">
        <v>882</v>
      </c>
      <c r="B439" s="113" t="s">
        <v>898</v>
      </c>
      <c r="C439" s="114">
        <v>0</v>
      </c>
      <c r="D439" s="114">
        <v>0</v>
      </c>
    </row>
    <row r="440" spans="1:4" x14ac:dyDescent="0.3">
      <c r="A440" s="113" t="s">
        <v>882</v>
      </c>
      <c r="B440" s="113" t="s">
        <v>899</v>
      </c>
      <c r="C440" s="114">
        <v>0</v>
      </c>
      <c r="D440" s="114">
        <v>0</v>
      </c>
    </row>
    <row r="441" spans="1:4" x14ac:dyDescent="0.3">
      <c r="A441" s="113" t="s">
        <v>882</v>
      </c>
      <c r="B441" s="113" t="s">
        <v>900</v>
      </c>
      <c r="C441" s="114">
        <v>0</v>
      </c>
      <c r="D441" s="114">
        <v>0</v>
      </c>
    </row>
    <row r="442" spans="1:4" x14ac:dyDescent="0.3">
      <c r="A442" s="113" t="s">
        <v>882</v>
      </c>
      <c r="B442" s="113" t="s">
        <v>901</v>
      </c>
      <c r="C442" s="114">
        <v>0</v>
      </c>
      <c r="D442" s="114">
        <v>0</v>
      </c>
    </row>
    <row r="443" spans="1:4" x14ac:dyDescent="0.3">
      <c r="A443" s="113" t="s">
        <v>882</v>
      </c>
      <c r="B443" s="113" t="s">
        <v>902</v>
      </c>
      <c r="C443" s="114">
        <v>0</v>
      </c>
      <c r="D443" s="114">
        <v>0</v>
      </c>
    </row>
    <row r="444" spans="1:4" x14ac:dyDescent="0.3">
      <c r="A444" s="113" t="s">
        <v>882</v>
      </c>
      <c r="B444" s="113" t="s">
        <v>903</v>
      </c>
      <c r="C444" s="114">
        <v>0</v>
      </c>
      <c r="D444" s="114">
        <v>0</v>
      </c>
    </row>
    <row r="445" spans="1:4" x14ac:dyDescent="0.3">
      <c r="A445" s="113" t="s">
        <v>882</v>
      </c>
      <c r="B445" s="113" t="s">
        <v>904</v>
      </c>
      <c r="C445" s="114">
        <v>0</v>
      </c>
      <c r="D445" s="114">
        <v>0</v>
      </c>
    </row>
    <row r="446" spans="1:4" x14ac:dyDescent="0.3">
      <c r="A446" s="113" t="s">
        <v>905</v>
      </c>
      <c r="B446" s="113" t="s">
        <v>906</v>
      </c>
      <c r="C446" s="114">
        <v>0</v>
      </c>
      <c r="D446" s="114">
        <v>0</v>
      </c>
    </row>
    <row r="447" spans="1:4" x14ac:dyDescent="0.3">
      <c r="A447" s="113" t="s">
        <v>905</v>
      </c>
      <c r="B447" s="113" t="s">
        <v>907</v>
      </c>
      <c r="C447" s="114">
        <v>0</v>
      </c>
      <c r="D447" s="114">
        <v>0</v>
      </c>
    </row>
    <row r="448" spans="1:4" x14ac:dyDescent="0.3">
      <c r="A448" s="113" t="s">
        <v>905</v>
      </c>
      <c r="B448" s="113" t="s">
        <v>908</v>
      </c>
      <c r="C448" s="114">
        <v>0</v>
      </c>
      <c r="D448" s="114">
        <v>0</v>
      </c>
    </row>
    <row r="449" spans="1:4" x14ac:dyDescent="0.3">
      <c r="A449" s="113" t="s">
        <v>905</v>
      </c>
      <c r="B449" s="113" t="s">
        <v>909</v>
      </c>
      <c r="C449" s="114">
        <v>0</v>
      </c>
      <c r="D449" s="114">
        <v>0</v>
      </c>
    </row>
    <row r="450" spans="1:4" x14ac:dyDescent="0.3">
      <c r="A450" s="113" t="s">
        <v>905</v>
      </c>
      <c r="B450" s="113" t="s">
        <v>910</v>
      </c>
      <c r="C450" s="114">
        <v>0</v>
      </c>
      <c r="D450" s="114">
        <v>0</v>
      </c>
    </row>
    <row r="451" spans="1:4" x14ac:dyDescent="0.3">
      <c r="A451" s="113" t="s">
        <v>905</v>
      </c>
      <c r="B451" s="113" t="s">
        <v>911</v>
      </c>
      <c r="C451" s="114">
        <v>0</v>
      </c>
      <c r="D451" s="114">
        <v>0</v>
      </c>
    </row>
    <row r="452" spans="1:4" x14ac:dyDescent="0.3">
      <c r="A452" s="113" t="s">
        <v>905</v>
      </c>
      <c r="B452" s="113" t="s">
        <v>912</v>
      </c>
      <c r="C452" s="114">
        <v>0</v>
      </c>
      <c r="D452" s="114">
        <v>0</v>
      </c>
    </row>
    <row r="453" spans="1:4" x14ac:dyDescent="0.3">
      <c r="A453" s="113" t="s">
        <v>905</v>
      </c>
      <c r="B453" s="113" t="s">
        <v>913</v>
      </c>
      <c r="C453" s="114">
        <v>0</v>
      </c>
      <c r="D453" s="114">
        <v>0</v>
      </c>
    </row>
    <row r="454" spans="1:4" x14ac:dyDescent="0.3">
      <c r="A454" s="113" t="s">
        <v>905</v>
      </c>
      <c r="B454" s="113" t="s">
        <v>914</v>
      </c>
      <c r="C454" s="114">
        <v>0</v>
      </c>
      <c r="D454" s="114">
        <v>0</v>
      </c>
    </row>
    <row r="455" spans="1:4" x14ac:dyDescent="0.3">
      <c r="A455" s="113" t="s">
        <v>905</v>
      </c>
      <c r="B455" s="113" t="s">
        <v>915</v>
      </c>
      <c r="C455" s="114">
        <v>0</v>
      </c>
      <c r="D455" s="114">
        <v>0</v>
      </c>
    </row>
    <row r="456" spans="1:4" x14ac:dyDescent="0.3">
      <c r="A456" s="113" t="s">
        <v>905</v>
      </c>
      <c r="B456" s="113" t="s">
        <v>916</v>
      </c>
      <c r="C456" s="114">
        <v>0</v>
      </c>
      <c r="D456" s="114">
        <v>0</v>
      </c>
    </row>
    <row r="457" spans="1:4" x14ac:dyDescent="0.3">
      <c r="A457" s="113" t="s">
        <v>905</v>
      </c>
      <c r="B457" s="113" t="s">
        <v>917</v>
      </c>
      <c r="C457" s="114">
        <v>0</v>
      </c>
      <c r="D457" s="114">
        <v>0</v>
      </c>
    </row>
    <row r="458" spans="1:4" x14ac:dyDescent="0.3">
      <c r="A458" s="113" t="s">
        <v>905</v>
      </c>
      <c r="B458" s="113" t="s">
        <v>918</v>
      </c>
      <c r="C458" s="114">
        <v>0</v>
      </c>
      <c r="D458" s="114">
        <v>0</v>
      </c>
    </row>
    <row r="459" spans="1:4" x14ac:dyDescent="0.3">
      <c r="A459" s="113" t="s">
        <v>905</v>
      </c>
      <c r="B459" s="113" t="s">
        <v>919</v>
      </c>
      <c r="C459" s="114">
        <v>0</v>
      </c>
      <c r="D459" s="114">
        <v>0</v>
      </c>
    </row>
    <row r="460" spans="1:4" x14ac:dyDescent="0.3">
      <c r="A460" s="113" t="s">
        <v>905</v>
      </c>
      <c r="B460" s="113" t="s">
        <v>920</v>
      </c>
      <c r="C460" s="114">
        <v>0</v>
      </c>
      <c r="D460" s="114">
        <v>0</v>
      </c>
    </row>
    <row r="461" spans="1:4" x14ac:dyDescent="0.3">
      <c r="A461" s="113" t="s">
        <v>905</v>
      </c>
      <c r="B461" s="113" t="s">
        <v>921</v>
      </c>
      <c r="C461" s="114">
        <v>0</v>
      </c>
      <c r="D461" s="114">
        <v>0</v>
      </c>
    </row>
    <row r="462" spans="1:4" x14ac:dyDescent="0.3">
      <c r="A462" s="113" t="s">
        <v>922</v>
      </c>
      <c r="B462" s="113" t="s">
        <v>923</v>
      </c>
      <c r="C462" s="114">
        <v>0</v>
      </c>
      <c r="D462" s="114">
        <v>0</v>
      </c>
    </row>
    <row r="463" spans="1:4" x14ac:dyDescent="0.3">
      <c r="A463" s="113" t="s">
        <v>922</v>
      </c>
      <c r="B463" s="113" t="s">
        <v>924</v>
      </c>
      <c r="C463" s="114">
        <v>0</v>
      </c>
      <c r="D463" s="114">
        <v>0</v>
      </c>
    </row>
    <row r="464" spans="1:4" x14ac:dyDescent="0.3">
      <c r="A464" s="113" t="s">
        <v>922</v>
      </c>
      <c r="B464" s="113" t="s">
        <v>925</v>
      </c>
      <c r="C464" s="114">
        <v>0</v>
      </c>
      <c r="D464" s="114">
        <v>0</v>
      </c>
    </row>
    <row r="465" spans="1:4" x14ac:dyDescent="0.3">
      <c r="A465" s="113" t="s">
        <v>922</v>
      </c>
      <c r="B465" s="113" t="s">
        <v>926</v>
      </c>
      <c r="C465" s="114">
        <v>0</v>
      </c>
      <c r="D465" s="114">
        <v>0</v>
      </c>
    </row>
    <row r="466" spans="1:4" x14ac:dyDescent="0.3">
      <c r="A466" s="113" t="s">
        <v>922</v>
      </c>
      <c r="B466" s="113" t="s">
        <v>927</v>
      </c>
      <c r="C466" s="114">
        <v>0</v>
      </c>
      <c r="D466" s="114">
        <v>0</v>
      </c>
    </row>
    <row r="467" spans="1:4" x14ac:dyDescent="0.3">
      <c r="A467" s="113" t="s">
        <v>922</v>
      </c>
      <c r="B467" s="113" t="s">
        <v>928</v>
      </c>
      <c r="C467" s="114">
        <v>0</v>
      </c>
      <c r="D467" s="114">
        <v>0</v>
      </c>
    </row>
    <row r="468" spans="1:4" x14ac:dyDescent="0.3">
      <c r="A468" s="113" t="s">
        <v>922</v>
      </c>
      <c r="B468" s="113" t="s">
        <v>929</v>
      </c>
      <c r="C468" s="114">
        <v>0</v>
      </c>
      <c r="D468" s="114">
        <v>0</v>
      </c>
    </row>
    <row r="469" spans="1:4" x14ac:dyDescent="0.3">
      <c r="A469" s="113" t="s">
        <v>922</v>
      </c>
      <c r="B469" s="113" t="s">
        <v>930</v>
      </c>
      <c r="C469" s="114">
        <v>0</v>
      </c>
      <c r="D469" s="114">
        <v>0</v>
      </c>
    </row>
    <row r="470" spans="1:4" x14ac:dyDescent="0.3">
      <c r="A470" s="113" t="s">
        <v>922</v>
      </c>
      <c r="B470" s="113" t="s">
        <v>931</v>
      </c>
      <c r="C470" s="114">
        <v>0</v>
      </c>
      <c r="D470" s="114">
        <v>0</v>
      </c>
    </row>
    <row r="471" spans="1:4" x14ac:dyDescent="0.3">
      <c r="A471" s="113" t="s">
        <v>922</v>
      </c>
      <c r="B471" s="113" t="s">
        <v>932</v>
      </c>
      <c r="C471" s="114">
        <v>0</v>
      </c>
      <c r="D471" s="114">
        <v>0</v>
      </c>
    </row>
    <row r="472" spans="1:4" x14ac:dyDescent="0.3">
      <c r="A472" s="113" t="s">
        <v>922</v>
      </c>
      <c r="B472" s="113" t="s">
        <v>933</v>
      </c>
      <c r="C472" s="114">
        <v>0</v>
      </c>
      <c r="D472" s="114">
        <v>0</v>
      </c>
    </row>
    <row r="473" spans="1:4" x14ac:dyDescent="0.3">
      <c r="A473" s="113" t="s">
        <v>922</v>
      </c>
      <c r="B473" s="113" t="s">
        <v>934</v>
      </c>
      <c r="C473" s="114">
        <v>0</v>
      </c>
      <c r="D473" s="114">
        <v>0</v>
      </c>
    </row>
    <row r="474" spans="1:4" x14ac:dyDescent="0.3">
      <c r="A474" s="113" t="s">
        <v>922</v>
      </c>
      <c r="B474" s="113" t="s">
        <v>935</v>
      </c>
      <c r="C474" s="114">
        <v>0</v>
      </c>
      <c r="D474" s="114">
        <v>0</v>
      </c>
    </row>
    <row r="475" spans="1:4" x14ac:dyDescent="0.3">
      <c r="A475" s="113" t="s">
        <v>922</v>
      </c>
      <c r="B475" s="113" t="s">
        <v>936</v>
      </c>
      <c r="C475" s="114">
        <v>0</v>
      </c>
      <c r="D475" s="114">
        <v>0</v>
      </c>
    </row>
    <row r="476" spans="1:4" x14ac:dyDescent="0.3">
      <c r="A476" s="113" t="s">
        <v>922</v>
      </c>
      <c r="B476" s="113" t="s">
        <v>937</v>
      </c>
      <c r="C476" s="114">
        <v>0</v>
      </c>
      <c r="D476" s="114">
        <v>0</v>
      </c>
    </row>
    <row r="477" spans="1:4" x14ac:dyDescent="0.3">
      <c r="A477" s="113" t="s">
        <v>922</v>
      </c>
      <c r="B477" s="113" t="s">
        <v>938</v>
      </c>
      <c r="C477" s="114">
        <v>0</v>
      </c>
      <c r="D477" s="114">
        <v>0</v>
      </c>
    </row>
    <row r="478" spans="1:4" x14ac:dyDescent="0.3">
      <c r="A478" s="113" t="s">
        <v>922</v>
      </c>
      <c r="B478" s="113" t="s">
        <v>939</v>
      </c>
      <c r="C478" s="114">
        <v>0</v>
      </c>
      <c r="D478" s="114">
        <v>0</v>
      </c>
    </row>
    <row r="479" spans="1:4" x14ac:dyDescent="0.3">
      <c r="A479" s="113" t="s">
        <v>922</v>
      </c>
      <c r="B479" s="113" t="s">
        <v>940</v>
      </c>
      <c r="C479" s="114">
        <v>0</v>
      </c>
      <c r="D479" s="114">
        <v>0</v>
      </c>
    </row>
    <row r="480" spans="1:4" x14ac:dyDescent="0.3">
      <c r="A480" s="113" t="s">
        <v>922</v>
      </c>
      <c r="B480" s="113" t="s">
        <v>941</v>
      </c>
      <c r="C480" s="114">
        <v>0</v>
      </c>
      <c r="D480" s="114">
        <v>0</v>
      </c>
    </row>
    <row r="481" spans="1:4" x14ac:dyDescent="0.3">
      <c r="A481" s="113" t="s">
        <v>922</v>
      </c>
      <c r="B481" s="113" t="s">
        <v>942</v>
      </c>
      <c r="C481" s="114">
        <v>0</v>
      </c>
      <c r="D481" s="114">
        <v>0</v>
      </c>
    </row>
    <row r="482" spans="1:4" x14ac:dyDescent="0.3">
      <c r="A482" s="113" t="s">
        <v>922</v>
      </c>
      <c r="B482" s="113" t="s">
        <v>943</v>
      </c>
      <c r="C482" s="114">
        <v>0</v>
      </c>
      <c r="D482" s="114">
        <v>0</v>
      </c>
    </row>
    <row r="483" spans="1:4" x14ac:dyDescent="0.3">
      <c r="A483" s="113" t="s">
        <v>922</v>
      </c>
      <c r="B483" s="113" t="s">
        <v>944</v>
      </c>
      <c r="C483" s="114">
        <v>0</v>
      </c>
      <c r="D483" s="114">
        <v>0</v>
      </c>
    </row>
    <row r="484" spans="1:4" x14ac:dyDescent="0.3">
      <c r="A484" s="113" t="s">
        <v>922</v>
      </c>
      <c r="B484" s="113" t="s">
        <v>945</v>
      </c>
      <c r="C484" s="114">
        <v>0</v>
      </c>
      <c r="D484" s="114">
        <v>0</v>
      </c>
    </row>
    <row r="485" spans="1:4" x14ac:dyDescent="0.3">
      <c r="A485" s="113" t="s">
        <v>922</v>
      </c>
      <c r="B485" s="113" t="s">
        <v>946</v>
      </c>
      <c r="C485" s="114">
        <v>0</v>
      </c>
      <c r="D485" s="114">
        <v>0</v>
      </c>
    </row>
    <row r="486" spans="1:4" x14ac:dyDescent="0.3">
      <c r="A486" s="113" t="s">
        <v>922</v>
      </c>
      <c r="B486" s="113" t="s">
        <v>947</v>
      </c>
      <c r="C486" s="114">
        <v>0</v>
      </c>
      <c r="D486" s="114">
        <v>0</v>
      </c>
    </row>
    <row r="487" spans="1:4" x14ac:dyDescent="0.3">
      <c r="A487" s="113" t="s">
        <v>922</v>
      </c>
      <c r="B487" s="113" t="s">
        <v>948</v>
      </c>
      <c r="C487" s="114">
        <v>0</v>
      </c>
      <c r="D487" s="114">
        <v>0</v>
      </c>
    </row>
    <row r="488" spans="1:4" x14ac:dyDescent="0.3">
      <c r="A488" s="113" t="s">
        <v>949</v>
      </c>
      <c r="B488" s="113" t="s">
        <v>950</v>
      </c>
      <c r="C488" s="114">
        <v>0</v>
      </c>
      <c r="D488" s="114">
        <v>0</v>
      </c>
    </row>
    <row r="489" spans="1:4" x14ac:dyDescent="0.3">
      <c r="A489" s="113" t="s">
        <v>949</v>
      </c>
      <c r="B489" s="113" t="s">
        <v>923</v>
      </c>
      <c r="C489" s="114">
        <v>0</v>
      </c>
      <c r="D489" s="114">
        <v>0</v>
      </c>
    </row>
    <row r="490" spans="1:4" x14ac:dyDescent="0.3">
      <c r="A490" s="113" t="s">
        <v>949</v>
      </c>
      <c r="B490" s="113" t="s">
        <v>924</v>
      </c>
      <c r="C490" s="114">
        <v>0</v>
      </c>
      <c r="D490" s="114">
        <v>0</v>
      </c>
    </row>
    <row r="491" spans="1:4" x14ac:dyDescent="0.3">
      <c r="A491" s="113" t="s">
        <v>949</v>
      </c>
      <c r="B491" s="113" t="s">
        <v>925</v>
      </c>
      <c r="C491" s="114">
        <v>0</v>
      </c>
      <c r="D491" s="114">
        <v>0</v>
      </c>
    </row>
    <row r="492" spans="1:4" x14ac:dyDescent="0.3">
      <c r="A492" s="113" t="s">
        <v>949</v>
      </c>
      <c r="B492" s="113" t="s">
        <v>926</v>
      </c>
      <c r="C492" s="114">
        <v>0</v>
      </c>
      <c r="D492" s="114">
        <v>0</v>
      </c>
    </row>
    <row r="493" spans="1:4" x14ac:dyDescent="0.3">
      <c r="A493" s="113" t="s">
        <v>949</v>
      </c>
      <c r="B493" s="113" t="s">
        <v>927</v>
      </c>
      <c r="C493" s="114">
        <v>0</v>
      </c>
      <c r="D493" s="114">
        <v>0</v>
      </c>
    </row>
    <row r="494" spans="1:4" x14ac:dyDescent="0.3">
      <c r="A494" s="113" t="s">
        <v>949</v>
      </c>
      <c r="B494" s="113" t="s">
        <v>928</v>
      </c>
      <c r="C494" s="114">
        <v>0</v>
      </c>
      <c r="D494" s="114">
        <v>0</v>
      </c>
    </row>
    <row r="495" spans="1:4" x14ac:dyDescent="0.3">
      <c r="A495" s="113" t="s">
        <v>949</v>
      </c>
      <c r="B495" s="113" t="s">
        <v>929</v>
      </c>
      <c r="C495" s="114">
        <v>0</v>
      </c>
      <c r="D495" s="114">
        <v>0</v>
      </c>
    </row>
    <row r="496" spans="1:4" x14ac:dyDescent="0.3">
      <c r="A496" s="113" t="s">
        <v>949</v>
      </c>
      <c r="B496" s="113" t="s">
        <v>930</v>
      </c>
      <c r="C496" s="114">
        <v>0</v>
      </c>
      <c r="D496" s="114">
        <v>0</v>
      </c>
    </row>
    <row r="497" spans="1:4" x14ac:dyDescent="0.3">
      <c r="A497" s="113" t="s">
        <v>949</v>
      </c>
      <c r="B497" s="113" t="s">
        <v>931</v>
      </c>
      <c r="C497" s="114">
        <v>0</v>
      </c>
      <c r="D497" s="114">
        <v>0</v>
      </c>
    </row>
    <row r="498" spans="1:4" x14ac:dyDescent="0.3">
      <c r="A498" s="113" t="s">
        <v>949</v>
      </c>
      <c r="B498" s="113" t="s">
        <v>932</v>
      </c>
      <c r="C498" s="114">
        <v>0</v>
      </c>
      <c r="D498" s="114">
        <v>0</v>
      </c>
    </row>
    <row r="499" spans="1:4" x14ac:dyDescent="0.3">
      <c r="A499" s="113" t="s">
        <v>949</v>
      </c>
      <c r="B499" s="113" t="s">
        <v>933</v>
      </c>
      <c r="C499" s="114">
        <v>0</v>
      </c>
      <c r="D499" s="114">
        <v>0</v>
      </c>
    </row>
    <row r="500" spans="1:4" x14ac:dyDescent="0.3">
      <c r="A500" s="113" t="s">
        <v>949</v>
      </c>
      <c r="B500" s="113" t="s">
        <v>934</v>
      </c>
      <c r="C500" s="114">
        <v>0</v>
      </c>
      <c r="D500" s="114">
        <v>0</v>
      </c>
    </row>
    <row r="501" spans="1:4" x14ac:dyDescent="0.3">
      <c r="A501" s="113" t="s">
        <v>949</v>
      </c>
      <c r="B501" s="113" t="s">
        <v>935</v>
      </c>
      <c r="C501" s="114">
        <v>0</v>
      </c>
      <c r="D501" s="114">
        <v>0</v>
      </c>
    </row>
    <row r="502" spans="1:4" x14ac:dyDescent="0.3">
      <c r="A502" s="113" t="s">
        <v>949</v>
      </c>
      <c r="B502" s="113" t="s">
        <v>951</v>
      </c>
      <c r="C502" s="114">
        <v>0</v>
      </c>
      <c r="D502" s="114">
        <v>0</v>
      </c>
    </row>
    <row r="503" spans="1:4" x14ac:dyDescent="0.3">
      <c r="A503" s="113" t="s">
        <v>949</v>
      </c>
      <c r="B503" s="113" t="s">
        <v>936</v>
      </c>
      <c r="C503" s="114">
        <v>0</v>
      </c>
      <c r="D503" s="114">
        <v>0</v>
      </c>
    </row>
    <row r="504" spans="1:4" x14ac:dyDescent="0.3">
      <c r="A504" s="113" t="s">
        <v>949</v>
      </c>
      <c r="B504" s="113" t="s">
        <v>937</v>
      </c>
      <c r="C504" s="114">
        <v>0</v>
      </c>
      <c r="D504" s="114">
        <v>0</v>
      </c>
    </row>
    <row r="505" spans="1:4" x14ac:dyDescent="0.3">
      <c r="A505" s="113" t="s">
        <v>949</v>
      </c>
      <c r="B505" s="113" t="s">
        <v>938</v>
      </c>
      <c r="C505" s="114">
        <v>0</v>
      </c>
      <c r="D505" s="114">
        <v>0</v>
      </c>
    </row>
    <row r="506" spans="1:4" x14ac:dyDescent="0.3">
      <c r="A506" s="113" t="s">
        <v>949</v>
      </c>
      <c r="B506" s="113" t="s">
        <v>939</v>
      </c>
      <c r="C506" s="114">
        <v>0</v>
      </c>
      <c r="D506" s="114">
        <v>0</v>
      </c>
    </row>
    <row r="507" spans="1:4" x14ac:dyDescent="0.3">
      <c r="A507" s="113" t="s">
        <v>949</v>
      </c>
      <c r="B507" s="113" t="s">
        <v>940</v>
      </c>
      <c r="C507" s="114">
        <v>0</v>
      </c>
      <c r="D507" s="114">
        <v>0</v>
      </c>
    </row>
    <row r="508" spans="1:4" x14ac:dyDescent="0.3">
      <c r="A508" s="113" t="s">
        <v>949</v>
      </c>
      <c r="B508" s="113" t="s">
        <v>941</v>
      </c>
      <c r="C508" s="114">
        <v>0</v>
      </c>
      <c r="D508" s="114">
        <v>0</v>
      </c>
    </row>
    <row r="509" spans="1:4" x14ac:dyDescent="0.3">
      <c r="A509" s="113" t="s">
        <v>949</v>
      </c>
      <c r="B509" s="113" t="s">
        <v>942</v>
      </c>
      <c r="C509" s="114">
        <v>0</v>
      </c>
      <c r="D509" s="114">
        <v>0</v>
      </c>
    </row>
    <row r="510" spans="1:4" x14ac:dyDescent="0.3">
      <c r="A510" s="113" t="s">
        <v>949</v>
      </c>
      <c r="B510" s="113" t="s">
        <v>943</v>
      </c>
      <c r="C510" s="114">
        <v>0</v>
      </c>
      <c r="D510" s="114">
        <v>0</v>
      </c>
    </row>
    <row r="511" spans="1:4" x14ac:dyDescent="0.3">
      <c r="A511" s="113" t="s">
        <v>949</v>
      </c>
      <c r="B511" s="113" t="s">
        <v>944</v>
      </c>
      <c r="C511" s="114">
        <v>0</v>
      </c>
      <c r="D511" s="114">
        <v>0</v>
      </c>
    </row>
    <row r="512" spans="1:4" x14ac:dyDescent="0.3">
      <c r="A512" s="113" t="s">
        <v>949</v>
      </c>
      <c r="B512" s="113" t="s">
        <v>945</v>
      </c>
      <c r="C512" s="114">
        <v>0</v>
      </c>
      <c r="D512" s="114">
        <v>0</v>
      </c>
    </row>
    <row r="513" spans="1:4" x14ac:dyDescent="0.3">
      <c r="A513" s="113" t="s">
        <v>949</v>
      </c>
      <c r="B513" s="113" t="s">
        <v>946</v>
      </c>
      <c r="C513" s="114">
        <v>0</v>
      </c>
      <c r="D513" s="114">
        <v>0</v>
      </c>
    </row>
    <row r="514" spans="1:4" x14ac:dyDescent="0.3">
      <c r="A514" s="113" t="s">
        <v>949</v>
      </c>
      <c r="B514" s="113" t="s">
        <v>947</v>
      </c>
      <c r="C514" s="114">
        <v>0</v>
      </c>
      <c r="D514" s="114">
        <v>0</v>
      </c>
    </row>
    <row r="515" spans="1:4" x14ac:dyDescent="0.3">
      <c r="A515" s="113" t="s">
        <v>949</v>
      </c>
      <c r="B515" s="113" t="s">
        <v>948</v>
      </c>
      <c r="C515" s="114">
        <v>0</v>
      </c>
      <c r="D515" s="114">
        <v>0</v>
      </c>
    </row>
    <row r="516" spans="1:4" x14ac:dyDescent="0.3">
      <c r="A516" s="113" t="s">
        <v>952</v>
      </c>
      <c r="B516" s="113" t="s">
        <v>953</v>
      </c>
      <c r="C516" s="114">
        <v>0</v>
      </c>
      <c r="D516" s="114">
        <v>0</v>
      </c>
    </row>
    <row r="517" spans="1:4" x14ac:dyDescent="0.3">
      <c r="A517" s="113" t="s">
        <v>952</v>
      </c>
      <c r="B517" s="113" t="s">
        <v>954</v>
      </c>
      <c r="C517" s="114">
        <v>0</v>
      </c>
      <c r="D517" s="114">
        <v>0</v>
      </c>
    </row>
    <row r="518" spans="1:4" x14ac:dyDescent="0.3">
      <c r="A518" s="113" t="s">
        <v>952</v>
      </c>
      <c r="B518" s="113" t="s">
        <v>955</v>
      </c>
      <c r="C518" s="114">
        <v>0</v>
      </c>
      <c r="D518" s="114">
        <v>0</v>
      </c>
    </row>
    <row r="519" spans="1:4" x14ac:dyDescent="0.3">
      <c r="A519" s="113" t="s">
        <v>952</v>
      </c>
      <c r="B519" s="113" t="s">
        <v>956</v>
      </c>
      <c r="C519" s="114">
        <v>0</v>
      </c>
      <c r="D519" s="114">
        <v>0</v>
      </c>
    </row>
    <row r="520" spans="1:4" x14ac:dyDescent="0.3">
      <c r="A520" s="113" t="s">
        <v>952</v>
      </c>
      <c r="B520" s="113" t="s">
        <v>957</v>
      </c>
      <c r="C520" s="114">
        <v>0</v>
      </c>
      <c r="D520" s="114">
        <v>0</v>
      </c>
    </row>
    <row r="521" spans="1:4" x14ac:dyDescent="0.3">
      <c r="A521" s="113" t="s">
        <v>952</v>
      </c>
      <c r="B521" s="113" t="s">
        <v>958</v>
      </c>
      <c r="C521" s="114">
        <v>0</v>
      </c>
      <c r="D521" s="114">
        <v>0</v>
      </c>
    </row>
    <row r="522" spans="1:4" x14ac:dyDescent="0.3">
      <c r="A522" s="113" t="s">
        <v>952</v>
      </c>
      <c r="B522" s="113" t="s">
        <v>959</v>
      </c>
      <c r="C522" s="114">
        <v>0</v>
      </c>
      <c r="D522" s="114">
        <v>0</v>
      </c>
    </row>
    <row r="523" spans="1:4" x14ac:dyDescent="0.3">
      <c r="A523" s="113" t="s">
        <v>952</v>
      </c>
      <c r="B523" s="113" t="s">
        <v>960</v>
      </c>
      <c r="C523" s="114">
        <v>0</v>
      </c>
      <c r="D523" s="114">
        <v>0</v>
      </c>
    </row>
    <row r="524" spans="1:4" x14ac:dyDescent="0.3">
      <c r="A524" s="113" t="s">
        <v>952</v>
      </c>
      <c r="B524" s="113" t="s">
        <v>961</v>
      </c>
      <c r="C524" s="114">
        <v>0</v>
      </c>
      <c r="D524" s="114">
        <v>0</v>
      </c>
    </row>
    <row r="525" spans="1:4" x14ac:dyDescent="0.3">
      <c r="A525" s="113" t="s">
        <v>952</v>
      </c>
      <c r="B525" s="113" t="s">
        <v>962</v>
      </c>
      <c r="C525" s="114">
        <v>0</v>
      </c>
      <c r="D525" s="114">
        <v>0</v>
      </c>
    </row>
    <row r="526" spans="1:4" x14ac:dyDescent="0.3">
      <c r="A526" s="113" t="s">
        <v>952</v>
      </c>
      <c r="B526" s="113" t="s">
        <v>963</v>
      </c>
      <c r="C526" s="114">
        <v>0</v>
      </c>
      <c r="D526" s="114">
        <v>0</v>
      </c>
    </row>
    <row r="527" spans="1:4" x14ac:dyDescent="0.3">
      <c r="A527" s="113" t="s">
        <v>952</v>
      </c>
      <c r="B527" s="113" t="s">
        <v>964</v>
      </c>
      <c r="C527" s="114">
        <v>0</v>
      </c>
      <c r="D527" s="114">
        <v>0</v>
      </c>
    </row>
    <row r="528" spans="1:4" x14ac:dyDescent="0.3">
      <c r="A528" s="113" t="s">
        <v>952</v>
      </c>
      <c r="B528" s="113" t="s">
        <v>965</v>
      </c>
      <c r="C528" s="114">
        <v>0</v>
      </c>
      <c r="D528" s="114">
        <v>0</v>
      </c>
    </row>
    <row r="529" spans="1:4" x14ac:dyDescent="0.3">
      <c r="A529" s="113" t="s">
        <v>952</v>
      </c>
      <c r="B529" s="113" t="s">
        <v>966</v>
      </c>
      <c r="C529" s="114">
        <v>0</v>
      </c>
      <c r="D529" s="114">
        <v>0</v>
      </c>
    </row>
    <row r="530" spans="1:4" x14ac:dyDescent="0.3">
      <c r="A530" s="113" t="s">
        <v>952</v>
      </c>
      <c r="B530" s="113" t="s">
        <v>967</v>
      </c>
      <c r="C530" s="114">
        <v>0</v>
      </c>
      <c r="D530" s="114">
        <v>0</v>
      </c>
    </row>
    <row r="531" spans="1:4" x14ac:dyDescent="0.3">
      <c r="A531" s="113" t="s">
        <v>952</v>
      </c>
      <c r="B531" s="113" t="s">
        <v>968</v>
      </c>
      <c r="C531" s="114">
        <v>0</v>
      </c>
      <c r="D531" s="114">
        <v>0</v>
      </c>
    </row>
    <row r="532" spans="1:4" x14ac:dyDescent="0.3">
      <c r="A532" s="113" t="s">
        <v>952</v>
      </c>
      <c r="B532" s="113" t="s">
        <v>969</v>
      </c>
      <c r="C532" s="114">
        <v>0</v>
      </c>
      <c r="D532" s="114">
        <v>0</v>
      </c>
    </row>
    <row r="533" spans="1:4" x14ac:dyDescent="0.3">
      <c r="A533" s="113" t="s">
        <v>952</v>
      </c>
      <c r="B533" s="113" t="s">
        <v>970</v>
      </c>
      <c r="C533" s="114">
        <v>0</v>
      </c>
      <c r="D533" s="114">
        <v>0</v>
      </c>
    </row>
    <row r="534" spans="1:4" x14ac:dyDescent="0.3">
      <c r="A534" s="113" t="s">
        <v>952</v>
      </c>
      <c r="B534" s="113" t="s">
        <v>971</v>
      </c>
      <c r="C534" s="114">
        <v>0</v>
      </c>
      <c r="D534" s="114">
        <v>0</v>
      </c>
    </row>
    <row r="535" spans="1:4" x14ac:dyDescent="0.3">
      <c r="A535" s="113" t="s">
        <v>952</v>
      </c>
      <c r="B535" s="113" t="s">
        <v>972</v>
      </c>
      <c r="C535" s="114">
        <v>0</v>
      </c>
      <c r="D535" s="114">
        <v>0</v>
      </c>
    </row>
    <row r="536" spans="1:4" x14ac:dyDescent="0.3">
      <c r="A536" s="113" t="s">
        <v>952</v>
      </c>
      <c r="B536" s="113" t="s">
        <v>973</v>
      </c>
      <c r="C536" s="114">
        <v>0</v>
      </c>
      <c r="D536" s="114">
        <v>0</v>
      </c>
    </row>
    <row r="537" spans="1:4" x14ac:dyDescent="0.3">
      <c r="A537" s="113" t="s">
        <v>952</v>
      </c>
      <c r="B537" s="113" t="s">
        <v>974</v>
      </c>
      <c r="C537" s="114">
        <v>0</v>
      </c>
      <c r="D537" s="114">
        <v>0</v>
      </c>
    </row>
    <row r="538" spans="1:4" x14ac:dyDescent="0.3">
      <c r="A538" s="113" t="s">
        <v>952</v>
      </c>
      <c r="B538" s="113" t="s">
        <v>975</v>
      </c>
      <c r="C538" s="114">
        <v>0</v>
      </c>
      <c r="D538" s="114">
        <v>0</v>
      </c>
    </row>
    <row r="539" spans="1:4" x14ac:dyDescent="0.3">
      <c r="A539" s="113" t="s">
        <v>952</v>
      </c>
      <c r="B539" s="113" t="s">
        <v>976</v>
      </c>
      <c r="C539" s="114">
        <v>0</v>
      </c>
      <c r="D539" s="114">
        <v>0</v>
      </c>
    </row>
    <row r="540" spans="1:4" x14ac:dyDescent="0.3">
      <c r="A540" s="113" t="s">
        <v>952</v>
      </c>
      <c r="B540" s="113" t="s">
        <v>977</v>
      </c>
      <c r="C540" s="114">
        <v>0</v>
      </c>
      <c r="D540" s="114">
        <v>0</v>
      </c>
    </row>
    <row r="541" spans="1:4" x14ac:dyDescent="0.3">
      <c r="A541" s="113" t="s">
        <v>952</v>
      </c>
      <c r="B541" s="113" t="s">
        <v>978</v>
      </c>
      <c r="C541" s="114">
        <v>0</v>
      </c>
      <c r="D541" s="114">
        <v>0</v>
      </c>
    </row>
    <row r="542" spans="1:4" x14ac:dyDescent="0.3">
      <c r="A542" s="113" t="s">
        <v>952</v>
      </c>
      <c r="B542" s="113" t="s">
        <v>979</v>
      </c>
      <c r="C542" s="114">
        <v>0</v>
      </c>
      <c r="D542" s="114">
        <v>0</v>
      </c>
    </row>
    <row r="543" spans="1:4" x14ac:dyDescent="0.3">
      <c r="A543" s="113" t="s">
        <v>952</v>
      </c>
      <c r="B543" s="113" t="s">
        <v>980</v>
      </c>
      <c r="C543" s="114">
        <v>0</v>
      </c>
      <c r="D543" s="114">
        <v>0</v>
      </c>
    </row>
    <row r="544" spans="1:4" x14ac:dyDescent="0.3">
      <c r="A544" s="113" t="s">
        <v>952</v>
      </c>
      <c r="B544" s="113" t="s">
        <v>981</v>
      </c>
      <c r="C544" s="114">
        <v>0</v>
      </c>
      <c r="D544" s="114">
        <v>0</v>
      </c>
    </row>
    <row r="545" spans="1:4" x14ac:dyDescent="0.3">
      <c r="A545" s="113" t="s">
        <v>952</v>
      </c>
      <c r="B545" s="113" t="s">
        <v>982</v>
      </c>
      <c r="C545" s="114">
        <v>0</v>
      </c>
      <c r="D545" s="114">
        <v>0</v>
      </c>
    </row>
    <row r="546" spans="1:4" x14ac:dyDescent="0.3">
      <c r="A546" s="113" t="s">
        <v>952</v>
      </c>
      <c r="B546" s="113" t="s">
        <v>983</v>
      </c>
      <c r="C546" s="114">
        <v>0</v>
      </c>
      <c r="D546" s="114">
        <v>0</v>
      </c>
    </row>
    <row r="547" spans="1:4" x14ac:dyDescent="0.3">
      <c r="A547" s="113" t="s">
        <v>952</v>
      </c>
      <c r="B547" s="113" t="s">
        <v>984</v>
      </c>
      <c r="C547" s="114">
        <v>0</v>
      </c>
      <c r="D547" s="114">
        <v>0</v>
      </c>
    </row>
    <row r="548" spans="1:4" x14ac:dyDescent="0.3">
      <c r="A548" s="113" t="s">
        <v>952</v>
      </c>
      <c r="B548" s="113" t="s">
        <v>985</v>
      </c>
      <c r="C548" s="114">
        <v>0</v>
      </c>
      <c r="D548" s="114">
        <v>0</v>
      </c>
    </row>
    <row r="549" spans="1:4" x14ac:dyDescent="0.3">
      <c r="A549" s="113" t="s">
        <v>952</v>
      </c>
      <c r="B549" s="113" t="s">
        <v>986</v>
      </c>
      <c r="C549" s="114">
        <v>0</v>
      </c>
      <c r="D549" s="114">
        <v>0</v>
      </c>
    </row>
    <row r="550" spans="1:4" x14ac:dyDescent="0.3">
      <c r="A550" s="113" t="s">
        <v>952</v>
      </c>
      <c r="B550" s="113" t="s">
        <v>987</v>
      </c>
      <c r="C550" s="114">
        <v>0</v>
      </c>
      <c r="D550" s="114">
        <v>0</v>
      </c>
    </row>
    <row r="551" spans="1:4" x14ac:dyDescent="0.3">
      <c r="A551" s="113" t="s">
        <v>952</v>
      </c>
      <c r="B551" s="113" t="s">
        <v>988</v>
      </c>
      <c r="C551" s="114">
        <v>0</v>
      </c>
      <c r="D551" s="114">
        <v>0</v>
      </c>
    </row>
    <row r="552" spans="1:4" x14ac:dyDescent="0.3">
      <c r="A552" s="113" t="s">
        <v>952</v>
      </c>
      <c r="B552" s="113" t="s">
        <v>989</v>
      </c>
      <c r="C552" s="114">
        <v>0</v>
      </c>
      <c r="D552" s="114">
        <v>0</v>
      </c>
    </row>
    <row r="553" spans="1:4" x14ac:dyDescent="0.3">
      <c r="A553" s="113" t="s">
        <v>952</v>
      </c>
      <c r="B553" s="113" t="s">
        <v>990</v>
      </c>
      <c r="C553" s="114">
        <v>0</v>
      </c>
      <c r="D553" s="114">
        <v>0</v>
      </c>
    </row>
    <row r="554" spans="1:4" x14ac:dyDescent="0.3">
      <c r="A554" s="113" t="s">
        <v>952</v>
      </c>
      <c r="B554" s="113" t="s">
        <v>991</v>
      </c>
      <c r="C554" s="114">
        <v>0</v>
      </c>
      <c r="D554" s="114">
        <v>0</v>
      </c>
    </row>
    <row r="555" spans="1:4" x14ac:dyDescent="0.3">
      <c r="A555" s="113" t="s">
        <v>952</v>
      </c>
      <c r="B555" s="113" t="s">
        <v>992</v>
      </c>
      <c r="C555" s="114">
        <v>0</v>
      </c>
      <c r="D555" s="114">
        <v>0</v>
      </c>
    </row>
    <row r="556" spans="1:4" x14ac:dyDescent="0.3">
      <c r="A556" s="113" t="s">
        <v>952</v>
      </c>
      <c r="B556" s="113" t="s">
        <v>993</v>
      </c>
      <c r="C556" s="114">
        <v>0</v>
      </c>
      <c r="D556" s="114">
        <v>0</v>
      </c>
    </row>
    <row r="557" spans="1:4" x14ac:dyDescent="0.3">
      <c r="A557" s="113" t="s">
        <v>952</v>
      </c>
      <c r="B557" s="113" t="s">
        <v>994</v>
      </c>
      <c r="C557" s="114">
        <v>0</v>
      </c>
      <c r="D557" s="114">
        <v>0</v>
      </c>
    </row>
    <row r="558" spans="1:4" x14ac:dyDescent="0.3">
      <c r="A558" s="113" t="s">
        <v>952</v>
      </c>
      <c r="B558" s="113" t="s">
        <v>995</v>
      </c>
      <c r="C558" s="114">
        <v>0</v>
      </c>
      <c r="D558" s="114">
        <v>0</v>
      </c>
    </row>
    <row r="559" spans="1:4" x14ac:dyDescent="0.3">
      <c r="A559" s="113" t="s">
        <v>952</v>
      </c>
      <c r="B559" s="113" t="s">
        <v>996</v>
      </c>
      <c r="C559" s="114">
        <v>0</v>
      </c>
      <c r="D559" s="114">
        <v>0</v>
      </c>
    </row>
    <row r="560" spans="1:4" x14ac:dyDescent="0.3">
      <c r="A560" s="113" t="s">
        <v>952</v>
      </c>
      <c r="B560" s="113" t="s">
        <v>997</v>
      </c>
      <c r="C560" s="114">
        <v>0</v>
      </c>
      <c r="D560" s="114">
        <v>0</v>
      </c>
    </row>
    <row r="561" spans="1:4" x14ac:dyDescent="0.3">
      <c r="A561" s="113" t="s">
        <v>952</v>
      </c>
      <c r="B561" s="113" t="s">
        <v>998</v>
      </c>
      <c r="C561" s="114">
        <v>0</v>
      </c>
      <c r="D561" s="114">
        <v>0</v>
      </c>
    </row>
    <row r="562" spans="1:4" x14ac:dyDescent="0.3">
      <c r="A562" s="113" t="s">
        <v>952</v>
      </c>
      <c r="B562" s="113" t="s">
        <v>999</v>
      </c>
      <c r="C562" s="114">
        <v>0</v>
      </c>
      <c r="D562" s="114">
        <v>0</v>
      </c>
    </row>
    <row r="563" spans="1:4" x14ac:dyDescent="0.3">
      <c r="A563" s="113" t="s">
        <v>952</v>
      </c>
      <c r="B563" s="113" t="s">
        <v>1000</v>
      </c>
      <c r="C563" s="114">
        <v>0</v>
      </c>
      <c r="D563" s="114">
        <v>0</v>
      </c>
    </row>
    <row r="564" spans="1:4" x14ac:dyDescent="0.3">
      <c r="A564" s="113" t="s">
        <v>952</v>
      </c>
      <c r="B564" s="113" t="s">
        <v>1001</v>
      </c>
      <c r="C564" s="114">
        <v>0</v>
      </c>
      <c r="D564" s="114">
        <v>0</v>
      </c>
    </row>
    <row r="565" spans="1:4" x14ac:dyDescent="0.3">
      <c r="A565" s="113" t="s">
        <v>952</v>
      </c>
      <c r="B565" s="113" t="s">
        <v>1002</v>
      </c>
      <c r="C565" s="114">
        <v>0</v>
      </c>
      <c r="D565" s="114">
        <v>0</v>
      </c>
    </row>
    <row r="566" spans="1:4" x14ac:dyDescent="0.3">
      <c r="A566" s="113" t="s">
        <v>952</v>
      </c>
      <c r="B566" s="113" t="s">
        <v>1003</v>
      </c>
      <c r="C566" s="114">
        <v>0</v>
      </c>
      <c r="D566" s="114">
        <v>0</v>
      </c>
    </row>
    <row r="567" spans="1:4" x14ac:dyDescent="0.3">
      <c r="A567" s="113" t="s">
        <v>952</v>
      </c>
      <c r="B567" s="113" t="s">
        <v>1004</v>
      </c>
      <c r="C567" s="114">
        <v>0</v>
      </c>
      <c r="D567" s="114">
        <v>0</v>
      </c>
    </row>
    <row r="568" spans="1:4" x14ac:dyDescent="0.3">
      <c r="A568" s="113" t="s">
        <v>952</v>
      </c>
      <c r="B568" s="113" t="s">
        <v>1005</v>
      </c>
      <c r="C568" s="114">
        <v>0</v>
      </c>
      <c r="D568" s="114">
        <v>0</v>
      </c>
    </row>
    <row r="569" spans="1:4" x14ac:dyDescent="0.3">
      <c r="A569" s="113" t="s">
        <v>952</v>
      </c>
      <c r="B569" s="113" t="s">
        <v>1006</v>
      </c>
      <c r="C569" s="114">
        <v>0</v>
      </c>
      <c r="D569" s="114">
        <v>0</v>
      </c>
    </row>
    <row r="570" spans="1:4" x14ac:dyDescent="0.3">
      <c r="A570" s="113" t="s">
        <v>952</v>
      </c>
      <c r="B570" s="113" t="s">
        <v>1007</v>
      </c>
      <c r="C570" s="114">
        <v>0</v>
      </c>
      <c r="D570" s="114">
        <v>0</v>
      </c>
    </row>
    <row r="571" spans="1:4" x14ac:dyDescent="0.3">
      <c r="A571" s="113" t="s">
        <v>952</v>
      </c>
      <c r="B571" s="113" t="s">
        <v>1008</v>
      </c>
      <c r="C571" s="114">
        <v>0</v>
      </c>
      <c r="D571" s="114">
        <v>0</v>
      </c>
    </row>
    <row r="572" spans="1:4" x14ac:dyDescent="0.3">
      <c r="A572" s="113" t="s">
        <v>952</v>
      </c>
      <c r="B572" s="113" t="s">
        <v>1009</v>
      </c>
      <c r="C572" s="114">
        <v>0</v>
      </c>
      <c r="D572" s="114">
        <v>0</v>
      </c>
    </row>
    <row r="573" spans="1:4" x14ac:dyDescent="0.3">
      <c r="A573" s="113" t="s">
        <v>952</v>
      </c>
      <c r="B573" s="113" t="s">
        <v>1010</v>
      </c>
      <c r="C573" s="114">
        <v>0</v>
      </c>
      <c r="D573" s="114">
        <v>0</v>
      </c>
    </row>
    <row r="574" spans="1:4" x14ac:dyDescent="0.3">
      <c r="A574" s="113" t="s">
        <v>952</v>
      </c>
      <c r="B574" s="113" t="s">
        <v>1011</v>
      </c>
      <c r="C574" s="114">
        <v>0</v>
      </c>
      <c r="D574" s="114">
        <v>0</v>
      </c>
    </row>
    <row r="575" spans="1:4" x14ac:dyDescent="0.3">
      <c r="A575" s="113" t="s">
        <v>952</v>
      </c>
      <c r="B575" s="113" t="s">
        <v>1012</v>
      </c>
      <c r="C575" s="114">
        <v>0</v>
      </c>
      <c r="D575" s="114">
        <v>0</v>
      </c>
    </row>
    <row r="576" spans="1:4" x14ac:dyDescent="0.3">
      <c r="A576" s="113" t="s">
        <v>952</v>
      </c>
      <c r="B576" s="113" t="s">
        <v>1013</v>
      </c>
      <c r="C576" s="114">
        <v>0</v>
      </c>
      <c r="D576" s="114">
        <v>0</v>
      </c>
    </row>
    <row r="577" spans="1:4" x14ac:dyDescent="0.3">
      <c r="A577" s="113" t="s">
        <v>952</v>
      </c>
      <c r="B577" s="113" t="s">
        <v>1014</v>
      </c>
      <c r="C577" s="114">
        <v>0</v>
      </c>
      <c r="D577" s="114">
        <v>0</v>
      </c>
    </row>
    <row r="578" spans="1:4" x14ac:dyDescent="0.3">
      <c r="A578" s="113" t="s">
        <v>952</v>
      </c>
      <c r="B578" s="113" t="s">
        <v>1015</v>
      </c>
      <c r="C578" s="114">
        <v>0</v>
      </c>
      <c r="D578" s="114">
        <v>0</v>
      </c>
    </row>
    <row r="579" spans="1:4" x14ac:dyDescent="0.3">
      <c r="A579" s="113" t="s">
        <v>952</v>
      </c>
      <c r="B579" s="113" t="s">
        <v>1016</v>
      </c>
      <c r="C579" s="114">
        <v>0</v>
      </c>
      <c r="D579" s="114">
        <v>0</v>
      </c>
    </row>
    <row r="580" spans="1:4" x14ac:dyDescent="0.3">
      <c r="A580" s="113" t="s">
        <v>952</v>
      </c>
      <c r="B580" s="113" t="s">
        <v>1017</v>
      </c>
      <c r="C580" s="114">
        <v>0</v>
      </c>
      <c r="D580" s="114">
        <v>0</v>
      </c>
    </row>
    <row r="581" spans="1:4" x14ac:dyDescent="0.3">
      <c r="A581" s="113" t="s">
        <v>952</v>
      </c>
      <c r="B581" s="113" t="s">
        <v>1018</v>
      </c>
      <c r="C581" s="114">
        <v>0</v>
      </c>
      <c r="D581" s="114">
        <v>0</v>
      </c>
    </row>
    <row r="582" spans="1:4" x14ac:dyDescent="0.3">
      <c r="A582" s="113" t="s">
        <v>952</v>
      </c>
      <c r="B582" s="113" t="s">
        <v>1019</v>
      </c>
      <c r="C582" s="114">
        <v>0</v>
      </c>
      <c r="D582" s="114">
        <v>0</v>
      </c>
    </row>
    <row r="583" spans="1:4" x14ac:dyDescent="0.3">
      <c r="A583" s="113" t="s">
        <v>952</v>
      </c>
      <c r="B583" s="113" t="s">
        <v>1020</v>
      </c>
      <c r="C583" s="114">
        <v>0</v>
      </c>
      <c r="D583" s="114">
        <v>0</v>
      </c>
    </row>
    <row r="584" spans="1:4" x14ac:dyDescent="0.3">
      <c r="A584" s="113" t="s">
        <v>952</v>
      </c>
      <c r="B584" s="113" t="s">
        <v>1021</v>
      </c>
      <c r="C584" s="114">
        <v>0</v>
      </c>
      <c r="D584" s="114">
        <v>0</v>
      </c>
    </row>
    <row r="585" spans="1:4" x14ac:dyDescent="0.3">
      <c r="A585" s="113" t="s">
        <v>952</v>
      </c>
      <c r="B585" s="113" t="s">
        <v>1022</v>
      </c>
      <c r="C585" s="114">
        <v>0</v>
      </c>
      <c r="D585" s="114">
        <v>0</v>
      </c>
    </row>
    <row r="586" spans="1:4" x14ac:dyDescent="0.3">
      <c r="A586" s="113" t="s">
        <v>952</v>
      </c>
      <c r="B586" s="113" t="s">
        <v>1023</v>
      </c>
      <c r="C586" s="114">
        <v>0</v>
      </c>
      <c r="D586" s="114">
        <v>0</v>
      </c>
    </row>
    <row r="587" spans="1:4" x14ac:dyDescent="0.3">
      <c r="A587" s="113" t="s">
        <v>952</v>
      </c>
      <c r="B587" s="113" t="s">
        <v>1024</v>
      </c>
      <c r="C587" s="114">
        <v>0</v>
      </c>
      <c r="D587" s="114">
        <v>0</v>
      </c>
    </row>
    <row r="588" spans="1:4" x14ac:dyDescent="0.3">
      <c r="A588" s="113" t="s">
        <v>952</v>
      </c>
      <c r="B588" s="113" t="s">
        <v>1025</v>
      </c>
      <c r="C588" s="114">
        <v>0</v>
      </c>
      <c r="D588" s="114">
        <v>0</v>
      </c>
    </row>
    <row r="589" spans="1:4" x14ac:dyDescent="0.3">
      <c r="A589" s="113" t="s">
        <v>952</v>
      </c>
      <c r="B589" s="113" t="s">
        <v>1026</v>
      </c>
      <c r="C589" s="114">
        <v>0</v>
      </c>
      <c r="D589" s="114">
        <v>0</v>
      </c>
    </row>
    <row r="590" spans="1:4" x14ac:dyDescent="0.3">
      <c r="A590" s="113" t="s">
        <v>952</v>
      </c>
      <c r="B590" s="113" t="s">
        <v>1027</v>
      </c>
      <c r="C590" s="114">
        <v>0</v>
      </c>
      <c r="D590" s="114">
        <v>0</v>
      </c>
    </row>
    <row r="591" spans="1:4" x14ac:dyDescent="0.3">
      <c r="A591" s="113" t="s">
        <v>952</v>
      </c>
      <c r="B591" s="113" t="s">
        <v>1028</v>
      </c>
      <c r="C591" s="114">
        <v>0</v>
      </c>
      <c r="D591" s="114">
        <v>0</v>
      </c>
    </row>
    <row r="592" spans="1:4" x14ac:dyDescent="0.3">
      <c r="A592" s="113" t="s">
        <v>952</v>
      </c>
      <c r="B592" s="113" t="s">
        <v>1029</v>
      </c>
      <c r="C592" s="114">
        <v>0</v>
      </c>
      <c r="D592" s="114">
        <v>0</v>
      </c>
    </row>
    <row r="593" spans="1:4" x14ac:dyDescent="0.3">
      <c r="A593" s="113" t="s">
        <v>952</v>
      </c>
      <c r="B593" s="113" t="s">
        <v>1030</v>
      </c>
      <c r="C593" s="114">
        <v>0</v>
      </c>
      <c r="D593" s="114">
        <v>0</v>
      </c>
    </row>
    <row r="594" spans="1:4" x14ac:dyDescent="0.3">
      <c r="A594" s="113" t="s">
        <v>952</v>
      </c>
      <c r="B594" s="113" t="s">
        <v>1031</v>
      </c>
      <c r="C594" s="114">
        <v>0</v>
      </c>
      <c r="D594" s="114">
        <v>0</v>
      </c>
    </row>
    <row r="595" spans="1:4" x14ac:dyDescent="0.3">
      <c r="A595" s="113" t="s">
        <v>952</v>
      </c>
      <c r="B595" s="113" t="s">
        <v>1032</v>
      </c>
      <c r="C595" s="114">
        <v>0</v>
      </c>
      <c r="D595" s="114">
        <v>0</v>
      </c>
    </row>
    <row r="596" spans="1:4" x14ac:dyDescent="0.3">
      <c r="A596" s="113" t="s">
        <v>952</v>
      </c>
      <c r="B596" s="113" t="s">
        <v>1033</v>
      </c>
      <c r="C596" s="114">
        <v>0</v>
      </c>
      <c r="D596" s="114">
        <v>0</v>
      </c>
    </row>
    <row r="597" spans="1:4" x14ac:dyDescent="0.3">
      <c r="A597" s="113" t="s">
        <v>952</v>
      </c>
      <c r="B597" s="113" t="s">
        <v>1034</v>
      </c>
      <c r="C597" s="114">
        <v>0</v>
      </c>
      <c r="D597" s="114">
        <v>0</v>
      </c>
    </row>
    <row r="598" spans="1:4" x14ac:dyDescent="0.3">
      <c r="A598" s="113" t="s">
        <v>952</v>
      </c>
      <c r="B598" s="113" t="s">
        <v>1035</v>
      </c>
      <c r="C598" s="114">
        <v>0</v>
      </c>
      <c r="D598" s="114">
        <v>0</v>
      </c>
    </row>
    <row r="599" spans="1:4" x14ac:dyDescent="0.3">
      <c r="A599" s="113" t="s">
        <v>952</v>
      </c>
      <c r="B599" s="113" t="s">
        <v>1036</v>
      </c>
      <c r="C599" s="114">
        <v>0</v>
      </c>
      <c r="D599" s="114">
        <v>0</v>
      </c>
    </row>
    <row r="600" spans="1:4" x14ac:dyDescent="0.3">
      <c r="A600" s="113" t="s">
        <v>952</v>
      </c>
      <c r="B600" s="113" t="s">
        <v>1037</v>
      </c>
      <c r="C600" s="114">
        <v>0</v>
      </c>
      <c r="D600" s="114">
        <v>0</v>
      </c>
    </row>
    <row r="601" spans="1:4" x14ac:dyDescent="0.3">
      <c r="A601" s="113" t="s">
        <v>952</v>
      </c>
      <c r="B601" s="113" t="s">
        <v>1038</v>
      </c>
      <c r="C601" s="114">
        <v>0</v>
      </c>
      <c r="D601" s="114">
        <v>0</v>
      </c>
    </row>
    <row r="602" spans="1:4" x14ac:dyDescent="0.3">
      <c r="A602" s="113" t="s">
        <v>952</v>
      </c>
      <c r="B602" s="113" t="s">
        <v>1039</v>
      </c>
      <c r="C602" s="114">
        <v>0</v>
      </c>
      <c r="D602" s="114">
        <v>0</v>
      </c>
    </row>
    <row r="603" spans="1:4" x14ac:dyDescent="0.3">
      <c r="A603" s="113" t="s">
        <v>952</v>
      </c>
      <c r="B603" s="113" t="s">
        <v>1040</v>
      </c>
      <c r="C603" s="114">
        <v>0</v>
      </c>
      <c r="D603" s="114">
        <v>0</v>
      </c>
    </row>
    <row r="604" spans="1:4" x14ac:dyDescent="0.3">
      <c r="A604" s="113" t="s">
        <v>952</v>
      </c>
      <c r="B604" s="113" t="s">
        <v>1041</v>
      </c>
      <c r="C604" s="114">
        <v>0</v>
      </c>
      <c r="D604" s="114">
        <v>0</v>
      </c>
    </row>
    <row r="605" spans="1:4" x14ac:dyDescent="0.3">
      <c r="A605" s="113" t="s">
        <v>952</v>
      </c>
      <c r="B605" s="113" t="s">
        <v>1042</v>
      </c>
      <c r="C605" s="114">
        <v>0</v>
      </c>
      <c r="D605" s="114">
        <v>0</v>
      </c>
    </row>
    <row r="606" spans="1:4" x14ac:dyDescent="0.3">
      <c r="A606" s="113" t="s">
        <v>952</v>
      </c>
      <c r="B606" s="113" t="s">
        <v>1043</v>
      </c>
      <c r="C606" s="114">
        <v>0</v>
      </c>
      <c r="D606" s="114">
        <v>0</v>
      </c>
    </row>
    <row r="607" spans="1:4" x14ac:dyDescent="0.3">
      <c r="A607" s="113" t="s">
        <v>952</v>
      </c>
      <c r="B607" s="113" t="s">
        <v>1044</v>
      </c>
      <c r="C607" s="114">
        <v>0</v>
      </c>
      <c r="D607" s="114">
        <v>0</v>
      </c>
    </row>
    <row r="608" spans="1:4" x14ac:dyDescent="0.3">
      <c r="A608" s="113" t="s">
        <v>952</v>
      </c>
      <c r="B608" s="113" t="s">
        <v>1045</v>
      </c>
      <c r="C608" s="114">
        <v>0</v>
      </c>
      <c r="D608" s="114">
        <v>0</v>
      </c>
    </row>
    <row r="609" spans="1:4" x14ac:dyDescent="0.3">
      <c r="A609" s="113" t="s">
        <v>952</v>
      </c>
      <c r="B609" s="113" t="s">
        <v>1046</v>
      </c>
      <c r="C609" s="114">
        <v>0</v>
      </c>
      <c r="D609" s="114">
        <v>0</v>
      </c>
    </row>
    <row r="610" spans="1:4" x14ac:dyDescent="0.3">
      <c r="A610" s="113" t="s">
        <v>952</v>
      </c>
      <c r="B610" s="113" t="s">
        <v>1047</v>
      </c>
      <c r="C610" s="114">
        <v>0</v>
      </c>
      <c r="D610" s="114">
        <v>0</v>
      </c>
    </row>
    <row r="611" spans="1:4" x14ac:dyDescent="0.3">
      <c r="A611" s="113" t="s">
        <v>952</v>
      </c>
      <c r="B611" s="113" t="s">
        <v>1048</v>
      </c>
      <c r="C611" s="114">
        <v>0</v>
      </c>
      <c r="D611" s="114">
        <v>0</v>
      </c>
    </row>
    <row r="612" spans="1:4" x14ac:dyDescent="0.3">
      <c r="A612" s="113" t="s">
        <v>952</v>
      </c>
      <c r="B612" s="113" t="s">
        <v>1049</v>
      </c>
      <c r="C612" s="114">
        <v>0</v>
      </c>
      <c r="D612" s="114">
        <v>0</v>
      </c>
    </row>
    <row r="613" spans="1:4" x14ac:dyDescent="0.3">
      <c r="A613" s="113" t="s">
        <v>952</v>
      </c>
      <c r="B613" s="113" t="s">
        <v>1050</v>
      </c>
      <c r="C613" s="114">
        <v>0</v>
      </c>
      <c r="D613" s="114">
        <v>0</v>
      </c>
    </row>
    <row r="614" spans="1:4" x14ac:dyDescent="0.3">
      <c r="A614" s="113" t="s">
        <v>952</v>
      </c>
      <c r="B614" s="113" t="s">
        <v>1051</v>
      </c>
      <c r="C614" s="114">
        <v>0</v>
      </c>
      <c r="D614" s="114">
        <v>0</v>
      </c>
    </row>
    <row r="615" spans="1:4" x14ac:dyDescent="0.3">
      <c r="A615" s="113" t="s">
        <v>952</v>
      </c>
      <c r="B615" s="113" t="s">
        <v>1052</v>
      </c>
      <c r="C615" s="114">
        <v>0</v>
      </c>
      <c r="D615" s="114">
        <v>0</v>
      </c>
    </row>
    <row r="616" spans="1:4" x14ac:dyDescent="0.3">
      <c r="A616" s="113" t="s">
        <v>952</v>
      </c>
      <c r="B616" s="113" t="s">
        <v>1053</v>
      </c>
      <c r="C616" s="114">
        <v>0</v>
      </c>
      <c r="D616" s="114">
        <v>0</v>
      </c>
    </row>
    <row r="617" spans="1:4" x14ac:dyDescent="0.3">
      <c r="A617" s="113" t="s">
        <v>952</v>
      </c>
      <c r="B617" s="113" t="s">
        <v>1054</v>
      </c>
      <c r="C617" s="114">
        <v>0</v>
      </c>
      <c r="D617" s="114">
        <v>0</v>
      </c>
    </row>
    <row r="618" spans="1:4" x14ac:dyDescent="0.3">
      <c r="A618" s="113" t="s">
        <v>952</v>
      </c>
      <c r="B618" s="113" t="s">
        <v>1055</v>
      </c>
      <c r="C618" s="114">
        <v>0</v>
      </c>
      <c r="D618" s="114">
        <v>0</v>
      </c>
    </row>
    <row r="619" spans="1:4" x14ac:dyDescent="0.3">
      <c r="A619" s="113" t="s">
        <v>952</v>
      </c>
      <c r="B619" s="113" t="s">
        <v>1056</v>
      </c>
      <c r="C619" s="114">
        <v>0</v>
      </c>
      <c r="D619" s="114">
        <v>0</v>
      </c>
    </row>
    <row r="620" spans="1:4" x14ac:dyDescent="0.3">
      <c r="A620" s="113" t="s">
        <v>952</v>
      </c>
      <c r="B620" s="113" t="s">
        <v>1057</v>
      </c>
      <c r="C620" s="114">
        <v>0</v>
      </c>
      <c r="D620" s="114">
        <v>0</v>
      </c>
    </row>
    <row r="621" spans="1:4" x14ac:dyDescent="0.3">
      <c r="A621" s="113" t="s">
        <v>952</v>
      </c>
      <c r="B621" s="113" t="s">
        <v>1058</v>
      </c>
      <c r="C621" s="114">
        <v>0</v>
      </c>
      <c r="D621" s="114">
        <v>0</v>
      </c>
    </row>
    <row r="622" spans="1:4" x14ac:dyDescent="0.3">
      <c r="A622" s="113" t="s">
        <v>952</v>
      </c>
      <c r="B622" s="113" t="s">
        <v>1059</v>
      </c>
      <c r="C622" s="114">
        <v>0</v>
      </c>
      <c r="D622" s="114">
        <v>0</v>
      </c>
    </row>
    <row r="623" spans="1:4" x14ac:dyDescent="0.3">
      <c r="A623" s="113" t="s">
        <v>952</v>
      </c>
      <c r="B623" s="113" t="s">
        <v>1060</v>
      </c>
      <c r="C623" s="114">
        <v>0</v>
      </c>
      <c r="D623" s="114">
        <v>0</v>
      </c>
    </row>
    <row r="624" spans="1:4" x14ac:dyDescent="0.3">
      <c r="A624" s="113" t="s">
        <v>952</v>
      </c>
      <c r="B624" s="113" t="s">
        <v>1061</v>
      </c>
      <c r="C624" s="114">
        <v>0</v>
      </c>
      <c r="D624" s="114">
        <v>0</v>
      </c>
    </row>
    <row r="625" spans="1:4" x14ac:dyDescent="0.3">
      <c r="A625" s="113" t="s">
        <v>952</v>
      </c>
      <c r="B625" s="113" t="s">
        <v>1062</v>
      </c>
      <c r="C625" s="114">
        <v>0</v>
      </c>
      <c r="D625" s="114">
        <v>0</v>
      </c>
    </row>
    <row r="626" spans="1:4" x14ac:dyDescent="0.3">
      <c r="A626" s="113" t="s">
        <v>952</v>
      </c>
      <c r="B626" s="113" t="s">
        <v>1063</v>
      </c>
      <c r="C626" s="114">
        <v>0</v>
      </c>
      <c r="D626" s="114">
        <v>0</v>
      </c>
    </row>
    <row r="627" spans="1:4" x14ac:dyDescent="0.3">
      <c r="A627" s="113" t="s">
        <v>952</v>
      </c>
      <c r="B627" s="113" t="s">
        <v>1064</v>
      </c>
      <c r="C627" s="114">
        <v>0</v>
      </c>
      <c r="D627" s="114">
        <v>0</v>
      </c>
    </row>
    <row r="628" spans="1:4" x14ac:dyDescent="0.3">
      <c r="A628" s="113" t="s">
        <v>952</v>
      </c>
      <c r="B628" s="113" t="s">
        <v>1065</v>
      </c>
      <c r="C628" s="114">
        <v>0</v>
      </c>
      <c r="D628" s="114">
        <v>0</v>
      </c>
    </row>
    <row r="629" spans="1:4" x14ac:dyDescent="0.3">
      <c r="A629" s="113" t="s">
        <v>952</v>
      </c>
      <c r="B629" s="113" t="s">
        <v>1066</v>
      </c>
      <c r="C629" s="114">
        <v>0</v>
      </c>
      <c r="D629" s="114">
        <v>0</v>
      </c>
    </row>
    <row r="630" spans="1:4" x14ac:dyDescent="0.3">
      <c r="A630" s="113" t="s">
        <v>952</v>
      </c>
      <c r="B630" s="113" t="s">
        <v>1067</v>
      </c>
      <c r="C630" s="114">
        <v>0</v>
      </c>
      <c r="D630" s="114">
        <v>0</v>
      </c>
    </row>
    <row r="631" spans="1:4" x14ac:dyDescent="0.3">
      <c r="A631" s="113" t="s">
        <v>952</v>
      </c>
      <c r="B631" s="113" t="s">
        <v>1068</v>
      </c>
      <c r="C631" s="114">
        <v>0</v>
      </c>
      <c r="D631" s="114">
        <v>0</v>
      </c>
    </row>
    <row r="632" spans="1:4" x14ac:dyDescent="0.3">
      <c r="A632" s="113" t="s">
        <v>952</v>
      </c>
      <c r="B632" s="113" t="s">
        <v>1069</v>
      </c>
      <c r="C632" s="114">
        <v>0</v>
      </c>
      <c r="D632" s="114">
        <v>0</v>
      </c>
    </row>
    <row r="633" spans="1:4" x14ac:dyDescent="0.3">
      <c r="A633" s="113" t="s">
        <v>952</v>
      </c>
      <c r="B633" s="113" t="s">
        <v>1070</v>
      </c>
      <c r="C633" s="114">
        <v>0</v>
      </c>
      <c r="D633" s="114">
        <v>0</v>
      </c>
    </row>
    <row r="634" spans="1:4" x14ac:dyDescent="0.3">
      <c r="A634" s="113" t="s">
        <v>952</v>
      </c>
      <c r="B634" s="113" t="s">
        <v>1071</v>
      </c>
      <c r="C634" s="114">
        <v>0</v>
      </c>
      <c r="D634" s="114">
        <v>0</v>
      </c>
    </row>
    <row r="635" spans="1:4" x14ac:dyDescent="0.3">
      <c r="A635" s="113" t="s">
        <v>952</v>
      </c>
      <c r="B635" s="113" t="s">
        <v>1072</v>
      </c>
      <c r="C635" s="114">
        <v>0</v>
      </c>
      <c r="D635" s="114">
        <v>0</v>
      </c>
    </row>
    <row r="636" spans="1:4" x14ac:dyDescent="0.3">
      <c r="A636" s="113" t="s">
        <v>952</v>
      </c>
      <c r="B636" s="113" t="s">
        <v>1073</v>
      </c>
      <c r="C636" s="114">
        <v>0</v>
      </c>
      <c r="D636" s="114">
        <v>0</v>
      </c>
    </row>
    <row r="637" spans="1:4" x14ac:dyDescent="0.3">
      <c r="A637" s="113" t="s">
        <v>952</v>
      </c>
      <c r="B637" s="113" t="s">
        <v>1074</v>
      </c>
      <c r="C637" s="114">
        <v>0</v>
      </c>
      <c r="D637" s="114">
        <v>0</v>
      </c>
    </row>
    <row r="638" spans="1:4" x14ac:dyDescent="0.3">
      <c r="A638" s="113" t="s">
        <v>952</v>
      </c>
      <c r="B638" s="113" t="s">
        <v>1075</v>
      </c>
      <c r="C638" s="114">
        <v>0</v>
      </c>
      <c r="D638" s="114">
        <v>0</v>
      </c>
    </row>
    <row r="639" spans="1:4" x14ac:dyDescent="0.3">
      <c r="A639" s="113" t="s">
        <v>952</v>
      </c>
      <c r="B639" s="113" t="s">
        <v>1076</v>
      </c>
      <c r="C639" s="114">
        <v>0</v>
      </c>
      <c r="D639" s="114">
        <v>0</v>
      </c>
    </row>
    <row r="640" spans="1:4" x14ac:dyDescent="0.3">
      <c r="A640" s="113" t="s">
        <v>952</v>
      </c>
      <c r="B640" s="113" t="s">
        <v>1077</v>
      </c>
      <c r="C640" s="114">
        <v>0</v>
      </c>
      <c r="D640" s="114">
        <v>0</v>
      </c>
    </row>
    <row r="641" spans="1:4" x14ac:dyDescent="0.3">
      <c r="A641" s="113" t="s">
        <v>952</v>
      </c>
      <c r="B641" s="113" t="s">
        <v>1078</v>
      </c>
      <c r="C641" s="114">
        <v>0</v>
      </c>
      <c r="D641" s="114">
        <v>0</v>
      </c>
    </row>
    <row r="642" spans="1:4" x14ac:dyDescent="0.3">
      <c r="A642" s="113" t="s">
        <v>952</v>
      </c>
      <c r="B642" s="113" t="s">
        <v>1079</v>
      </c>
      <c r="C642" s="114">
        <v>0</v>
      </c>
      <c r="D642" s="114">
        <v>0</v>
      </c>
    </row>
    <row r="643" spans="1:4" x14ac:dyDescent="0.3">
      <c r="A643" s="113" t="s">
        <v>952</v>
      </c>
      <c r="B643" s="113" t="s">
        <v>1080</v>
      </c>
      <c r="C643" s="114">
        <v>0</v>
      </c>
      <c r="D643" s="114">
        <v>0</v>
      </c>
    </row>
    <row r="644" spans="1:4" x14ac:dyDescent="0.3">
      <c r="A644" s="113" t="s">
        <v>952</v>
      </c>
      <c r="B644" s="113" t="s">
        <v>1081</v>
      </c>
      <c r="C644" s="114">
        <v>0</v>
      </c>
      <c r="D644" s="114">
        <v>0</v>
      </c>
    </row>
    <row r="645" spans="1:4" x14ac:dyDescent="0.3">
      <c r="A645" s="113" t="s">
        <v>952</v>
      </c>
      <c r="B645" s="113" t="s">
        <v>1082</v>
      </c>
      <c r="C645" s="114">
        <v>0</v>
      </c>
      <c r="D645" s="114">
        <v>0</v>
      </c>
    </row>
    <row r="646" spans="1:4" x14ac:dyDescent="0.3">
      <c r="A646" s="113" t="s">
        <v>952</v>
      </c>
      <c r="B646" s="113" t="s">
        <v>1083</v>
      </c>
      <c r="C646" s="114">
        <v>0</v>
      </c>
      <c r="D646" s="114">
        <v>0</v>
      </c>
    </row>
    <row r="647" spans="1:4" x14ac:dyDescent="0.3">
      <c r="A647" s="113" t="s">
        <v>952</v>
      </c>
      <c r="B647" s="113" t="s">
        <v>1084</v>
      </c>
      <c r="C647" s="114">
        <v>0</v>
      </c>
      <c r="D647" s="114">
        <v>0</v>
      </c>
    </row>
    <row r="648" spans="1:4" x14ac:dyDescent="0.3">
      <c r="A648" s="113" t="s">
        <v>952</v>
      </c>
      <c r="B648" s="113" t="s">
        <v>1085</v>
      </c>
      <c r="C648" s="114">
        <v>0</v>
      </c>
      <c r="D648" s="114">
        <v>0</v>
      </c>
    </row>
    <row r="649" spans="1:4" x14ac:dyDescent="0.3">
      <c r="A649" s="113" t="s">
        <v>952</v>
      </c>
      <c r="B649" s="113" t="s">
        <v>1086</v>
      </c>
      <c r="C649" s="114">
        <v>0</v>
      </c>
      <c r="D649" s="114">
        <v>0</v>
      </c>
    </row>
    <row r="650" spans="1:4" x14ac:dyDescent="0.3">
      <c r="A650" s="113" t="s">
        <v>952</v>
      </c>
      <c r="B650" s="113" t="s">
        <v>1087</v>
      </c>
      <c r="C650" s="114">
        <v>0</v>
      </c>
      <c r="D650" s="114">
        <v>0</v>
      </c>
    </row>
    <row r="651" spans="1:4" x14ac:dyDescent="0.3">
      <c r="A651" s="113" t="s">
        <v>952</v>
      </c>
      <c r="B651" s="113" t="s">
        <v>1088</v>
      </c>
      <c r="C651" s="114">
        <v>0</v>
      </c>
      <c r="D651" s="114">
        <v>0</v>
      </c>
    </row>
    <row r="652" spans="1:4" x14ac:dyDescent="0.3">
      <c r="A652" s="113" t="s">
        <v>952</v>
      </c>
      <c r="B652" s="113" t="s">
        <v>1089</v>
      </c>
      <c r="C652" s="114">
        <v>0</v>
      </c>
      <c r="D652" s="114">
        <v>0</v>
      </c>
    </row>
    <row r="653" spans="1:4" x14ac:dyDescent="0.3">
      <c r="A653" s="113" t="s">
        <v>952</v>
      </c>
      <c r="B653" s="113" t="s">
        <v>1090</v>
      </c>
      <c r="C653" s="114">
        <v>0</v>
      </c>
      <c r="D653" s="114">
        <v>0</v>
      </c>
    </row>
    <row r="654" spans="1:4" x14ac:dyDescent="0.3">
      <c r="A654" s="113" t="s">
        <v>952</v>
      </c>
      <c r="B654" s="113" t="s">
        <v>1091</v>
      </c>
      <c r="C654" s="114">
        <v>0</v>
      </c>
      <c r="D654" s="114">
        <v>0</v>
      </c>
    </row>
    <row r="655" spans="1:4" x14ac:dyDescent="0.3">
      <c r="A655" s="113" t="s">
        <v>952</v>
      </c>
      <c r="B655" s="113" t="s">
        <v>1092</v>
      </c>
      <c r="C655" s="114">
        <v>0</v>
      </c>
      <c r="D655" s="114">
        <v>0</v>
      </c>
    </row>
    <row r="656" spans="1:4" x14ac:dyDescent="0.3">
      <c r="A656" s="113" t="s">
        <v>952</v>
      </c>
      <c r="B656" s="113" t="s">
        <v>1093</v>
      </c>
      <c r="C656" s="114">
        <v>0</v>
      </c>
      <c r="D656" s="114">
        <v>0</v>
      </c>
    </row>
    <row r="657" spans="1:4" x14ac:dyDescent="0.3">
      <c r="A657" s="113" t="s">
        <v>952</v>
      </c>
      <c r="B657" s="113" t="s">
        <v>1094</v>
      </c>
      <c r="C657" s="114">
        <v>0</v>
      </c>
      <c r="D657" s="114">
        <v>0</v>
      </c>
    </row>
    <row r="658" spans="1:4" x14ac:dyDescent="0.3">
      <c r="A658" s="113" t="s">
        <v>952</v>
      </c>
      <c r="B658" s="113" t="s">
        <v>1095</v>
      </c>
      <c r="C658" s="114">
        <v>0</v>
      </c>
      <c r="D658" s="114">
        <v>0</v>
      </c>
    </row>
    <row r="659" spans="1:4" x14ac:dyDescent="0.3">
      <c r="A659" s="113" t="s">
        <v>952</v>
      </c>
      <c r="B659" s="113" t="s">
        <v>1096</v>
      </c>
      <c r="C659" s="114">
        <v>0</v>
      </c>
      <c r="D659" s="114">
        <v>0</v>
      </c>
    </row>
    <row r="660" spans="1:4" x14ac:dyDescent="0.3">
      <c r="A660" s="113" t="s">
        <v>952</v>
      </c>
      <c r="B660" s="113" t="s">
        <v>1097</v>
      </c>
      <c r="C660" s="114">
        <v>0</v>
      </c>
      <c r="D660" s="114">
        <v>0</v>
      </c>
    </row>
    <row r="661" spans="1:4" x14ac:dyDescent="0.3">
      <c r="A661" s="113" t="s">
        <v>952</v>
      </c>
      <c r="B661" s="113" t="s">
        <v>1098</v>
      </c>
      <c r="C661" s="114">
        <v>0</v>
      </c>
      <c r="D661" s="114">
        <v>0</v>
      </c>
    </row>
    <row r="662" spans="1:4" x14ac:dyDescent="0.3">
      <c r="A662" s="113" t="s">
        <v>952</v>
      </c>
      <c r="B662" s="113" t="s">
        <v>1099</v>
      </c>
      <c r="C662" s="114">
        <v>0</v>
      </c>
      <c r="D662" s="114">
        <v>0</v>
      </c>
    </row>
    <row r="663" spans="1:4" x14ac:dyDescent="0.3">
      <c r="A663" s="113" t="s">
        <v>952</v>
      </c>
      <c r="B663" s="113" t="s">
        <v>1100</v>
      </c>
      <c r="C663" s="114">
        <v>0</v>
      </c>
      <c r="D663" s="114">
        <v>0</v>
      </c>
    </row>
    <row r="664" spans="1:4" x14ac:dyDescent="0.3">
      <c r="A664" s="113" t="s">
        <v>952</v>
      </c>
      <c r="B664" s="113" t="s">
        <v>1101</v>
      </c>
      <c r="C664" s="114">
        <v>0</v>
      </c>
      <c r="D664" s="114">
        <v>0</v>
      </c>
    </row>
    <row r="665" spans="1:4" x14ac:dyDescent="0.3">
      <c r="A665" s="113" t="s">
        <v>952</v>
      </c>
      <c r="B665" s="113" t="s">
        <v>1102</v>
      </c>
      <c r="C665" s="114">
        <v>0</v>
      </c>
      <c r="D665" s="114">
        <v>0</v>
      </c>
    </row>
    <row r="666" spans="1:4" x14ac:dyDescent="0.3">
      <c r="A666" s="113" t="s">
        <v>952</v>
      </c>
      <c r="B666" s="113" t="s">
        <v>1103</v>
      </c>
      <c r="C666" s="114">
        <v>0</v>
      </c>
      <c r="D666" s="114">
        <v>0</v>
      </c>
    </row>
    <row r="667" spans="1:4" x14ac:dyDescent="0.3">
      <c r="A667" s="113" t="s">
        <v>952</v>
      </c>
      <c r="B667" s="113" t="s">
        <v>1104</v>
      </c>
      <c r="C667" s="114">
        <v>0</v>
      </c>
      <c r="D667" s="114">
        <v>0</v>
      </c>
    </row>
    <row r="668" spans="1:4" x14ac:dyDescent="0.3">
      <c r="A668" s="113" t="s">
        <v>952</v>
      </c>
      <c r="B668" s="113" t="s">
        <v>1105</v>
      </c>
      <c r="C668" s="114">
        <v>0</v>
      </c>
      <c r="D668" s="114">
        <v>0</v>
      </c>
    </row>
    <row r="669" spans="1:4" x14ac:dyDescent="0.3">
      <c r="A669" s="113" t="s">
        <v>952</v>
      </c>
      <c r="B669" s="113" t="s">
        <v>1106</v>
      </c>
      <c r="C669" s="114">
        <v>0</v>
      </c>
      <c r="D669" s="114">
        <v>0</v>
      </c>
    </row>
    <row r="670" spans="1:4" x14ac:dyDescent="0.3">
      <c r="A670" s="113" t="s">
        <v>952</v>
      </c>
      <c r="B670" s="113" t="s">
        <v>1107</v>
      </c>
      <c r="C670" s="114">
        <v>0</v>
      </c>
      <c r="D670" s="114">
        <v>0</v>
      </c>
    </row>
    <row r="671" spans="1:4" x14ac:dyDescent="0.3">
      <c r="A671" s="113" t="s">
        <v>952</v>
      </c>
      <c r="B671" s="113" t="s">
        <v>1108</v>
      </c>
      <c r="C671" s="114">
        <v>0</v>
      </c>
      <c r="D671" s="114">
        <v>0</v>
      </c>
    </row>
    <row r="672" spans="1:4" x14ac:dyDescent="0.3">
      <c r="A672" s="113" t="s">
        <v>952</v>
      </c>
      <c r="B672" s="113" t="s">
        <v>1109</v>
      </c>
      <c r="C672" s="114">
        <v>0</v>
      </c>
      <c r="D672" s="114">
        <v>0</v>
      </c>
    </row>
    <row r="673" spans="1:4" x14ac:dyDescent="0.3">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77734375" defaultRowHeight="14.4" x14ac:dyDescent="0.3"/>
  <cols>
    <col min="1" max="1" width="11" hidden="1" customWidth="1"/>
    <col min="2" max="2" width="33.33203125" bestFit="1" customWidth="1"/>
    <col min="3" max="3" width="34.21875" bestFit="1" customWidth="1"/>
    <col min="4" max="4" width="10.77734375" hidden="1" customWidth="1"/>
    <col min="5" max="5" width="23" hidden="1" customWidth="1"/>
    <col min="6" max="6" width="17.77734375" hidden="1" customWidth="1"/>
    <col min="7" max="7" width="22.77734375" bestFit="1" customWidth="1"/>
    <col min="8" max="8" width="21.6640625" bestFit="1" customWidth="1"/>
    <col min="9" max="9" width="28.21875" bestFit="1" customWidth="1"/>
    <col min="10" max="10" width="31.6640625" bestFit="1" customWidth="1"/>
    <col min="11" max="11" width="11.77734375" bestFit="1" customWidth="1"/>
    <col min="12" max="12" width="11.21875" customWidth="1"/>
    <col min="13" max="13" width="41.6640625" bestFit="1" customWidth="1"/>
    <col min="14" max="14" width="12" customWidth="1"/>
  </cols>
  <sheetData>
    <row r="1" spans="1:14" x14ac:dyDescent="0.3">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77734375" defaultRowHeight="13.8" x14ac:dyDescent="0.25"/>
  <cols>
    <col min="1" max="1" width="24.44140625" style="2" bestFit="1" customWidth="1"/>
    <col min="2" max="2" width="40.44140625" style="2" bestFit="1" customWidth="1"/>
    <col min="3" max="3" width="69.44140625" style="2" bestFit="1" customWidth="1"/>
    <col min="4" max="4" width="20.44140625" style="2" bestFit="1" customWidth="1"/>
    <col min="5" max="5" width="21.44140625" style="2" bestFit="1" customWidth="1"/>
    <col min="6" max="6" width="14.44140625" style="366" bestFit="1" customWidth="1"/>
    <col min="7" max="7" width="12.77734375" style="357" bestFit="1" customWidth="1"/>
    <col min="8" max="8" width="19.44140625" style="2" hidden="1" customWidth="1"/>
    <col min="9" max="9" width="23.44140625" style="2" hidden="1" customWidth="1"/>
    <col min="10" max="10" width="21.21875" style="2" hidden="1" customWidth="1"/>
    <col min="11" max="11" width="20" style="2" hidden="1" customWidth="1"/>
    <col min="12" max="12" width="10.77734375" style="2"/>
    <col min="13" max="14" width="0" style="2" hidden="1" customWidth="1"/>
    <col min="15" max="15" width="27.44140625" style="2" hidden="1" customWidth="1"/>
    <col min="16" max="21" width="0" style="2" hidden="1" customWidth="1"/>
    <col min="22" max="22" width="61.21875" style="2" hidden="1" customWidth="1"/>
    <col min="23" max="23" width="33.77734375" style="2" hidden="1" customWidth="1"/>
    <col min="24" max="33" width="0" style="2" hidden="1" customWidth="1"/>
    <col min="34" max="16384" width="10.77734375" style="2"/>
  </cols>
  <sheetData>
    <row r="1" spans="1:34" s="469" customFormat="1" x14ac:dyDescent="0.25">
      <c r="A1" s="1662" t="s">
        <v>1299</v>
      </c>
      <c r="B1" s="1662"/>
      <c r="C1" s="1662"/>
    </row>
    <row r="2" spans="1:34" s="469" customFormat="1" x14ac:dyDescent="0.25">
      <c r="A2" s="1662"/>
      <c r="B2" s="1662"/>
      <c r="C2" s="1662"/>
    </row>
    <row r="3" spans="1:34" x14ac:dyDescent="0.25">
      <c r="A3" s="2045" t="s">
        <v>232</v>
      </c>
      <c r="B3" s="2046"/>
      <c r="C3" s="2046"/>
      <c r="D3" s="2046"/>
      <c r="E3" s="2046"/>
      <c r="F3" s="2046"/>
      <c r="G3" s="2046"/>
      <c r="V3" s="31" t="s">
        <v>1300</v>
      </c>
    </row>
    <row r="4" spans="1:34" x14ac:dyDescent="0.25">
      <c r="B4" s="4"/>
      <c r="C4" s="4"/>
      <c r="D4" s="4"/>
      <c r="E4" s="4"/>
    </row>
    <row r="5" spans="1:34" x14ac:dyDescent="0.25">
      <c r="H5" s="31" t="s">
        <v>1301</v>
      </c>
      <c r="M5" s="31" t="s">
        <v>1302</v>
      </c>
      <c r="V5" s="31" t="s">
        <v>1303</v>
      </c>
    </row>
    <row r="6" spans="1:34" x14ac:dyDescent="0.25">
      <c r="C6" s="31"/>
    </row>
    <row r="7" spans="1:34" ht="15" x14ac:dyDescent="0.25">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25">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25">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25">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25">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25">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25">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25">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25">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25">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25">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25">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25">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25">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25">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25">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25">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25">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25">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25">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25">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25">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25">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25">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25">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25">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25">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25">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25">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25">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25">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25">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25">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25">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25">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25">
      <c r="A42" s="2" t="s">
        <v>1402</v>
      </c>
      <c r="B42" s="2" t="s">
        <v>1423</v>
      </c>
      <c r="C42" s="2" t="s">
        <v>603</v>
      </c>
      <c r="D42" s="2" t="s">
        <v>605</v>
      </c>
      <c r="E42" s="2">
        <v>200</v>
      </c>
      <c r="G42" s="75"/>
      <c r="O42" s="385"/>
    </row>
    <row r="43" spans="1:34" x14ac:dyDescent="0.25">
      <c r="A43" s="2" t="s">
        <v>1402</v>
      </c>
      <c r="B43" s="2" t="s">
        <v>1423</v>
      </c>
      <c r="C43" s="2" t="s">
        <v>603</v>
      </c>
      <c r="D43" s="2" t="s">
        <v>606</v>
      </c>
      <c r="E43" s="2">
        <v>280</v>
      </c>
      <c r="G43" s="75"/>
      <c r="O43" s="385"/>
    </row>
    <row r="44" spans="1:34" x14ac:dyDescent="0.25">
      <c r="A44" s="2" t="s">
        <v>1402</v>
      </c>
      <c r="B44" s="2" t="s">
        <v>1423</v>
      </c>
      <c r="C44" s="2" t="s">
        <v>603</v>
      </c>
      <c r="D44" s="2" t="s">
        <v>607</v>
      </c>
      <c r="E44" s="2">
        <v>350</v>
      </c>
      <c r="G44" s="75"/>
      <c r="O44" s="385"/>
    </row>
    <row r="45" spans="1:34" x14ac:dyDescent="0.25">
      <c r="A45" s="2" t="s">
        <v>1402</v>
      </c>
      <c r="B45" s="2" t="s">
        <v>1423</v>
      </c>
      <c r="C45" s="2" t="s">
        <v>603</v>
      </c>
      <c r="D45" s="2" t="s">
        <v>608</v>
      </c>
      <c r="E45" s="2">
        <v>495</v>
      </c>
      <c r="G45" s="75"/>
      <c r="O45" s="385"/>
    </row>
    <row r="46" spans="1:34" x14ac:dyDescent="0.25">
      <c r="A46" s="2" t="s">
        <v>1425</v>
      </c>
      <c r="B46" s="2" t="s">
        <v>1426</v>
      </c>
      <c r="C46" s="2" t="s">
        <v>603</v>
      </c>
      <c r="D46" s="2" t="s">
        <v>604</v>
      </c>
      <c r="E46" s="2">
        <v>78</v>
      </c>
      <c r="G46" s="75"/>
      <c r="O46" s="385"/>
    </row>
    <row r="47" spans="1:34" x14ac:dyDescent="0.25">
      <c r="A47" s="2" t="s">
        <v>1425</v>
      </c>
      <c r="B47" s="2" t="s">
        <v>1426</v>
      </c>
      <c r="C47" s="2" t="s">
        <v>603</v>
      </c>
      <c r="D47" s="2" t="s">
        <v>605</v>
      </c>
      <c r="E47" s="2">
        <v>115</v>
      </c>
      <c r="G47" s="75"/>
      <c r="O47" s="385"/>
    </row>
    <row r="48" spans="1:34" x14ac:dyDescent="0.25">
      <c r="A48" s="2" t="s">
        <v>1425</v>
      </c>
      <c r="B48" s="2" t="s">
        <v>1426</v>
      </c>
      <c r="C48" s="2" t="s">
        <v>603</v>
      </c>
      <c r="D48" s="2" t="s">
        <v>606</v>
      </c>
      <c r="E48" s="2">
        <v>149</v>
      </c>
      <c r="G48" s="75"/>
    </row>
    <row r="49" spans="1:7" x14ac:dyDescent="0.25">
      <c r="A49" s="2" t="s">
        <v>1425</v>
      </c>
      <c r="B49" s="2" t="s">
        <v>1426</v>
      </c>
      <c r="C49" s="2" t="s">
        <v>603</v>
      </c>
      <c r="D49" s="2" t="s">
        <v>607</v>
      </c>
      <c r="E49" s="2">
        <v>170</v>
      </c>
      <c r="G49" s="75"/>
    </row>
    <row r="50" spans="1:7" x14ac:dyDescent="0.25">
      <c r="A50" s="2" t="s">
        <v>1425</v>
      </c>
      <c r="B50" s="2" t="s">
        <v>1426</v>
      </c>
      <c r="C50" s="2" t="s">
        <v>603</v>
      </c>
      <c r="D50" s="2" t="s">
        <v>608</v>
      </c>
      <c r="E50" s="2">
        <v>213</v>
      </c>
      <c r="G50" s="75"/>
    </row>
    <row r="51" spans="1:7" x14ac:dyDescent="0.25">
      <c r="A51" s="2" t="s">
        <v>1425</v>
      </c>
      <c r="B51" s="2" t="s">
        <v>1426</v>
      </c>
      <c r="C51" s="2" t="s">
        <v>603</v>
      </c>
      <c r="D51" s="2" t="s">
        <v>609</v>
      </c>
      <c r="E51" s="2">
        <v>250</v>
      </c>
      <c r="G51" s="75"/>
    </row>
    <row r="52" spans="1:7" x14ac:dyDescent="0.25">
      <c r="A52" s="2" t="s">
        <v>1425</v>
      </c>
      <c r="B52" s="2" t="s">
        <v>1426</v>
      </c>
      <c r="C52" s="2" t="s">
        <v>603</v>
      </c>
      <c r="D52" s="2" t="s">
        <v>610</v>
      </c>
      <c r="E52" s="2">
        <v>268</v>
      </c>
      <c r="G52" s="75"/>
    </row>
    <row r="53" spans="1:7" x14ac:dyDescent="0.25">
      <c r="A53" s="2" t="s">
        <v>1425</v>
      </c>
      <c r="B53" s="2" t="s">
        <v>1426</v>
      </c>
      <c r="C53" s="2" t="s">
        <v>603</v>
      </c>
      <c r="D53" s="2" t="s">
        <v>611</v>
      </c>
      <c r="E53" s="2">
        <v>287</v>
      </c>
      <c r="G53" s="75"/>
    </row>
    <row r="54" spans="1:7" x14ac:dyDescent="0.25">
      <c r="A54" s="2" t="s">
        <v>1425</v>
      </c>
      <c r="B54" s="2" t="s">
        <v>1426</v>
      </c>
      <c r="C54" s="2" t="s">
        <v>603</v>
      </c>
      <c r="D54" s="2" t="s">
        <v>612</v>
      </c>
      <c r="E54" s="2">
        <v>313</v>
      </c>
      <c r="G54" s="75"/>
    </row>
    <row r="55" spans="1:7" x14ac:dyDescent="0.25">
      <c r="A55" s="2" t="s">
        <v>1425</v>
      </c>
      <c r="B55" s="2" t="s">
        <v>1426</v>
      </c>
      <c r="C55" s="2" t="s">
        <v>603</v>
      </c>
      <c r="D55" s="2" t="s">
        <v>613</v>
      </c>
      <c r="E55" s="2">
        <v>344</v>
      </c>
      <c r="G55" s="75"/>
    </row>
    <row r="56" spans="1:7" x14ac:dyDescent="0.25">
      <c r="A56" s="2" t="s">
        <v>1425</v>
      </c>
      <c r="B56" s="2" t="s">
        <v>1426</v>
      </c>
      <c r="C56" s="2" t="s">
        <v>603</v>
      </c>
      <c r="D56" s="2" t="s">
        <v>614</v>
      </c>
      <c r="E56" s="2">
        <v>370</v>
      </c>
      <c r="G56" s="75"/>
    </row>
    <row r="57" spans="1:7" x14ac:dyDescent="0.25">
      <c r="A57" s="2" t="s">
        <v>1427</v>
      </c>
      <c r="B57" s="2" t="s">
        <v>1428</v>
      </c>
      <c r="C57" s="2" t="s">
        <v>691</v>
      </c>
      <c r="D57" s="2" t="s">
        <v>692</v>
      </c>
      <c r="E57" s="2">
        <v>83</v>
      </c>
      <c r="G57" s="75"/>
    </row>
    <row r="58" spans="1:7" x14ac:dyDescent="0.25">
      <c r="A58" s="2" t="s">
        <v>1427</v>
      </c>
      <c r="B58" s="2" t="s">
        <v>1428</v>
      </c>
      <c r="C58" s="2" t="s">
        <v>691</v>
      </c>
      <c r="D58" s="2" t="s">
        <v>693</v>
      </c>
      <c r="E58" s="2">
        <v>50</v>
      </c>
      <c r="G58" s="75"/>
    </row>
    <row r="59" spans="1:7" x14ac:dyDescent="0.25">
      <c r="A59" s="2" t="s">
        <v>1427</v>
      </c>
      <c r="B59" s="2" t="s">
        <v>1428</v>
      </c>
      <c r="C59" s="2" t="s">
        <v>691</v>
      </c>
      <c r="D59" s="2" t="s">
        <v>647</v>
      </c>
      <c r="E59" s="2">
        <v>176</v>
      </c>
      <c r="G59" s="75"/>
    </row>
    <row r="60" spans="1:7" x14ac:dyDescent="0.25">
      <c r="A60" s="2" t="s">
        <v>1427</v>
      </c>
      <c r="B60" s="2" t="s">
        <v>1428</v>
      </c>
      <c r="C60" s="2" t="s">
        <v>691</v>
      </c>
      <c r="D60" s="2" t="s">
        <v>648</v>
      </c>
      <c r="E60" s="2">
        <v>209</v>
      </c>
      <c r="G60" s="75"/>
    </row>
    <row r="61" spans="1:7" x14ac:dyDescent="0.25">
      <c r="A61" s="2" t="s">
        <v>1427</v>
      </c>
      <c r="B61" s="2" t="s">
        <v>1428</v>
      </c>
      <c r="C61" s="2" t="s">
        <v>691</v>
      </c>
      <c r="D61" s="2" t="s">
        <v>634</v>
      </c>
      <c r="E61" s="2">
        <v>262</v>
      </c>
      <c r="G61" s="75"/>
    </row>
    <row r="62" spans="1:7" x14ac:dyDescent="0.25">
      <c r="A62" s="2" t="s">
        <v>1427</v>
      </c>
      <c r="B62" s="2" t="s">
        <v>1428</v>
      </c>
      <c r="C62" s="2" t="s">
        <v>691</v>
      </c>
      <c r="D62" s="2" t="s">
        <v>649</v>
      </c>
      <c r="E62" s="2">
        <v>262</v>
      </c>
      <c r="G62" s="75"/>
    </row>
    <row r="63" spans="1:7" x14ac:dyDescent="0.25">
      <c r="A63" s="2" t="s">
        <v>1427</v>
      </c>
      <c r="B63" s="2" t="s">
        <v>1428</v>
      </c>
      <c r="C63" s="2" t="s">
        <v>691</v>
      </c>
      <c r="D63" s="2" t="s">
        <v>635</v>
      </c>
      <c r="E63" s="2">
        <v>306</v>
      </c>
      <c r="G63" s="75"/>
    </row>
    <row r="64" spans="1:7" x14ac:dyDescent="0.25">
      <c r="A64" s="2" t="s">
        <v>1427</v>
      </c>
      <c r="B64" s="2" t="s">
        <v>1428</v>
      </c>
      <c r="C64" s="2" t="s">
        <v>691</v>
      </c>
      <c r="D64" s="2" t="s">
        <v>650</v>
      </c>
      <c r="E64" s="2">
        <v>306</v>
      </c>
      <c r="G64" s="75"/>
    </row>
    <row r="65" spans="1:7" x14ac:dyDescent="0.25">
      <c r="A65" s="2" t="s">
        <v>1427</v>
      </c>
      <c r="B65" s="2" t="s">
        <v>1428</v>
      </c>
      <c r="C65" s="2" t="s">
        <v>691</v>
      </c>
      <c r="D65" s="2" t="s">
        <v>636</v>
      </c>
      <c r="E65" s="2">
        <v>339</v>
      </c>
      <c r="G65" s="75"/>
    </row>
    <row r="66" spans="1:7" x14ac:dyDescent="0.25">
      <c r="A66" s="2" t="s">
        <v>1427</v>
      </c>
      <c r="B66" s="2" t="s">
        <v>1428</v>
      </c>
      <c r="C66" s="2" t="s">
        <v>691</v>
      </c>
      <c r="D66" s="2" t="s">
        <v>651</v>
      </c>
      <c r="E66" s="2">
        <v>339</v>
      </c>
      <c r="G66" s="75"/>
    </row>
    <row r="67" spans="1:7" x14ac:dyDescent="0.25">
      <c r="A67" s="2" t="s">
        <v>1427</v>
      </c>
      <c r="B67" s="2" t="s">
        <v>1428</v>
      </c>
      <c r="C67" s="2" t="s">
        <v>694</v>
      </c>
      <c r="D67" s="2" t="s">
        <v>692</v>
      </c>
      <c r="E67" s="2">
        <v>83</v>
      </c>
      <c r="G67" s="75"/>
    </row>
    <row r="68" spans="1:7" x14ac:dyDescent="0.25">
      <c r="A68" s="2" t="s">
        <v>1427</v>
      </c>
      <c r="B68" s="2" t="s">
        <v>1428</v>
      </c>
      <c r="C68" s="2" t="s">
        <v>694</v>
      </c>
      <c r="D68" s="2" t="s">
        <v>693</v>
      </c>
      <c r="E68" s="2">
        <v>50</v>
      </c>
      <c r="G68" s="75"/>
    </row>
    <row r="69" spans="1:7" x14ac:dyDescent="0.25">
      <c r="A69" s="2" t="s">
        <v>1427</v>
      </c>
      <c r="B69" s="2" t="s">
        <v>1428</v>
      </c>
      <c r="C69" s="2" t="s">
        <v>694</v>
      </c>
      <c r="D69" s="2" t="s">
        <v>647</v>
      </c>
      <c r="E69" s="2">
        <v>176</v>
      </c>
      <c r="G69" s="75"/>
    </row>
    <row r="70" spans="1:7" x14ac:dyDescent="0.25">
      <c r="A70" s="2" t="s">
        <v>1427</v>
      </c>
      <c r="B70" s="2" t="s">
        <v>1428</v>
      </c>
      <c r="C70" s="2" t="s">
        <v>694</v>
      </c>
      <c r="D70" s="2" t="s">
        <v>648</v>
      </c>
      <c r="E70" s="2">
        <v>209</v>
      </c>
      <c r="G70" s="75"/>
    </row>
    <row r="71" spans="1:7" x14ac:dyDescent="0.25">
      <c r="A71" s="2" t="s">
        <v>1427</v>
      </c>
      <c r="B71" s="2" t="s">
        <v>1428</v>
      </c>
      <c r="C71" s="2" t="s">
        <v>694</v>
      </c>
      <c r="D71" s="2" t="s">
        <v>634</v>
      </c>
      <c r="E71" s="2">
        <v>262</v>
      </c>
      <c r="G71" s="75"/>
    </row>
    <row r="72" spans="1:7" x14ac:dyDescent="0.25">
      <c r="A72" s="2" t="s">
        <v>1427</v>
      </c>
      <c r="B72" s="2" t="s">
        <v>1428</v>
      </c>
      <c r="C72" s="2" t="s">
        <v>694</v>
      </c>
      <c r="D72" s="2" t="s">
        <v>649</v>
      </c>
      <c r="E72" s="2">
        <v>262</v>
      </c>
      <c r="G72" s="75"/>
    </row>
    <row r="73" spans="1:7" x14ac:dyDescent="0.25">
      <c r="A73" s="2" t="s">
        <v>1427</v>
      </c>
      <c r="B73" s="2" t="s">
        <v>1428</v>
      </c>
      <c r="C73" s="2" t="s">
        <v>694</v>
      </c>
      <c r="D73" s="2" t="s">
        <v>635</v>
      </c>
      <c r="E73" s="2">
        <v>306</v>
      </c>
      <c r="G73" s="75"/>
    </row>
    <row r="74" spans="1:7" x14ac:dyDescent="0.25">
      <c r="A74" s="2" t="s">
        <v>1427</v>
      </c>
      <c r="B74" s="2" t="s">
        <v>1428</v>
      </c>
      <c r="C74" s="2" t="s">
        <v>694</v>
      </c>
      <c r="D74" s="2" t="s">
        <v>650</v>
      </c>
      <c r="E74" s="2">
        <v>306</v>
      </c>
      <c r="G74" s="75"/>
    </row>
    <row r="75" spans="1:7" x14ac:dyDescent="0.25">
      <c r="A75" s="2" t="s">
        <v>1427</v>
      </c>
      <c r="B75" s="2" t="s">
        <v>1428</v>
      </c>
      <c r="C75" s="2" t="s">
        <v>694</v>
      </c>
      <c r="D75" s="2" t="s">
        <v>636</v>
      </c>
      <c r="E75" s="2">
        <v>339</v>
      </c>
      <c r="G75" s="75"/>
    </row>
    <row r="76" spans="1:7" x14ac:dyDescent="0.25">
      <c r="A76" s="2" t="s">
        <v>1427</v>
      </c>
      <c r="B76" s="2" t="s">
        <v>1428</v>
      </c>
      <c r="C76" s="2" t="s">
        <v>694</v>
      </c>
      <c r="D76" s="2" t="s">
        <v>651</v>
      </c>
      <c r="E76" s="2">
        <v>339</v>
      </c>
      <c r="G76" s="75"/>
    </row>
    <row r="77" spans="1:7" x14ac:dyDescent="0.25">
      <c r="A77" s="2" t="s">
        <v>1427</v>
      </c>
      <c r="B77" s="2" t="s">
        <v>1428</v>
      </c>
      <c r="C77" s="2" t="s">
        <v>695</v>
      </c>
      <c r="D77" s="2" t="s">
        <v>696</v>
      </c>
      <c r="E77" s="2">
        <v>410</v>
      </c>
      <c r="G77" s="75"/>
    </row>
    <row r="78" spans="1:7" x14ac:dyDescent="0.25">
      <c r="A78" s="2" t="s">
        <v>1427</v>
      </c>
      <c r="B78" s="2" t="s">
        <v>1428</v>
      </c>
      <c r="C78" s="2" t="s">
        <v>695</v>
      </c>
      <c r="D78" s="2" t="s">
        <v>697</v>
      </c>
      <c r="E78" s="2">
        <v>410</v>
      </c>
      <c r="G78" s="75"/>
    </row>
    <row r="79" spans="1:7" x14ac:dyDescent="0.25">
      <c r="A79" s="2" t="s">
        <v>1427</v>
      </c>
      <c r="B79" s="2" t="s">
        <v>1428</v>
      </c>
      <c r="C79" s="2" t="s">
        <v>695</v>
      </c>
      <c r="D79" s="2" t="s">
        <v>698</v>
      </c>
      <c r="E79" s="2">
        <v>410</v>
      </c>
      <c r="G79" s="75"/>
    </row>
    <row r="80" spans="1:7" x14ac:dyDescent="0.25">
      <c r="A80" s="2" t="s">
        <v>1427</v>
      </c>
      <c r="B80" s="2" t="s">
        <v>1428</v>
      </c>
      <c r="C80" s="2" t="s">
        <v>695</v>
      </c>
      <c r="D80" s="2" t="s">
        <v>699</v>
      </c>
      <c r="E80" s="2">
        <v>410</v>
      </c>
      <c r="G80" s="75"/>
    </row>
    <row r="81" spans="1:7" x14ac:dyDescent="0.25">
      <c r="A81" s="2" t="s">
        <v>1427</v>
      </c>
      <c r="B81" s="2" t="s">
        <v>1428</v>
      </c>
      <c r="C81" s="2" t="s">
        <v>695</v>
      </c>
      <c r="D81" s="2" t="s">
        <v>700</v>
      </c>
      <c r="E81" s="2">
        <v>410</v>
      </c>
      <c r="G81" s="75"/>
    </row>
    <row r="82" spans="1:7" x14ac:dyDescent="0.25">
      <c r="A82" s="2" t="s">
        <v>1427</v>
      </c>
      <c r="B82" s="2" t="s">
        <v>1428</v>
      </c>
      <c r="C82" s="2" t="s">
        <v>695</v>
      </c>
      <c r="D82" s="2" t="s">
        <v>701</v>
      </c>
      <c r="E82" s="2">
        <v>410</v>
      </c>
      <c r="G82" s="75"/>
    </row>
    <row r="83" spans="1:7" x14ac:dyDescent="0.25">
      <c r="A83" s="2" t="s">
        <v>1427</v>
      </c>
      <c r="B83" s="2" t="s">
        <v>1428</v>
      </c>
      <c r="C83" s="2" t="s">
        <v>695</v>
      </c>
      <c r="D83" s="2" t="s">
        <v>702</v>
      </c>
      <c r="E83" s="2">
        <v>410</v>
      </c>
      <c r="G83" s="75"/>
    </row>
    <row r="84" spans="1:7" x14ac:dyDescent="0.25">
      <c r="A84" s="2" t="s">
        <v>1427</v>
      </c>
      <c r="B84" s="2" t="s">
        <v>1428</v>
      </c>
      <c r="C84" s="2" t="s">
        <v>695</v>
      </c>
      <c r="D84" s="2" t="s">
        <v>703</v>
      </c>
      <c r="E84" s="2">
        <v>410</v>
      </c>
      <c r="G84" s="75"/>
    </row>
    <row r="85" spans="1:7" x14ac:dyDescent="0.25">
      <c r="A85" s="2" t="s">
        <v>1427</v>
      </c>
      <c r="B85" s="2" t="s">
        <v>1428</v>
      </c>
      <c r="C85" s="2" t="s">
        <v>695</v>
      </c>
      <c r="D85" s="2" t="s">
        <v>704</v>
      </c>
      <c r="E85" s="2">
        <v>410</v>
      </c>
      <c r="G85" s="75"/>
    </row>
    <row r="86" spans="1:7" x14ac:dyDescent="0.25">
      <c r="A86" s="2" t="s">
        <v>1427</v>
      </c>
      <c r="B86" s="2" t="s">
        <v>1428</v>
      </c>
      <c r="C86" s="2" t="s">
        <v>695</v>
      </c>
      <c r="D86" s="2" t="s">
        <v>705</v>
      </c>
      <c r="E86" s="2">
        <v>410</v>
      </c>
      <c r="G86" s="75"/>
    </row>
    <row r="87" spans="1:7" x14ac:dyDescent="0.25">
      <c r="A87" s="2" t="s">
        <v>1427</v>
      </c>
      <c r="B87" s="2" t="s">
        <v>1428</v>
      </c>
      <c r="C87" s="2" t="s">
        <v>767</v>
      </c>
      <c r="D87" s="2" t="s">
        <v>773</v>
      </c>
      <c r="E87" s="2">
        <v>90</v>
      </c>
      <c r="G87" s="75"/>
    </row>
    <row r="88" spans="1:7" x14ac:dyDescent="0.25">
      <c r="A88" s="2" t="s">
        <v>1429</v>
      </c>
      <c r="B88" s="2" t="s">
        <v>1430</v>
      </c>
      <c r="C88" s="2" t="s">
        <v>603</v>
      </c>
      <c r="D88" s="2" t="s">
        <v>604</v>
      </c>
      <c r="E88" s="2">
        <v>100</v>
      </c>
      <c r="G88" s="75"/>
    </row>
    <row r="89" spans="1:7" x14ac:dyDescent="0.25">
      <c r="A89" s="2" t="s">
        <v>1429</v>
      </c>
      <c r="B89" s="2" t="s">
        <v>1430</v>
      </c>
      <c r="C89" s="2" t="s">
        <v>663</v>
      </c>
      <c r="D89" s="2" t="s">
        <v>630</v>
      </c>
      <c r="E89" s="2">
        <v>81</v>
      </c>
      <c r="G89" s="75"/>
    </row>
    <row r="90" spans="1:7" x14ac:dyDescent="0.25">
      <c r="A90" s="2" t="s">
        <v>1429</v>
      </c>
      <c r="B90" s="2" t="s">
        <v>1430</v>
      </c>
      <c r="C90" s="2" t="s">
        <v>663</v>
      </c>
      <c r="D90" s="2" t="s">
        <v>631</v>
      </c>
      <c r="E90" s="2">
        <v>100</v>
      </c>
      <c r="G90" s="75"/>
    </row>
    <row r="91" spans="1:7" x14ac:dyDescent="0.25">
      <c r="A91" s="2" t="s">
        <v>1429</v>
      </c>
      <c r="B91" s="2" t="s">
        <v>1430</v>
      </c>
      <c r="C91" s="2" t="s">
        <v>663</v>
      </c>
      <c r="D91" s="2" t="s">
        <v>632</v>
      </c>
      <c r="E91" s="2">
        <v>110</v>
      </c>
      <c r="G91" s="75"/>
    </row>
    <row r="92" spans="1:7" x14ac:dyDescent="0.25">
      <c r="A92" s="2" t="s">
        <v>1429</v>
      </c>
      <c r="B92" s="2" t="s">
        <v>1430</v>
      </c>
      <c r="C92" s="2" t="s">
        <v>663</v>
      </c>
      <c r="D92" s="2" t="s">
        <v>633</v>
      </c>
      <c r="E92" s="2">
        <v>110</v>
      </c>
      <c r="G92" s="75"/>
    </row>
    <row r="93" spans="1:7" x14ac:dyDescent="0.25">
      <c r="A93" s="2" t="s">
        <v>1429</v>
      </c>
      <c r="B93" s="2" t="s">
        <v>1430</v>
      </c>
      <c r="C93" s="2" t="s">
        <v>663</v>
      </c>
      <c r="D93" s="2" t="s">
        <v>634</v>
      </c>
      <c r="E93" s="2">
        <v>120</v>
      </c>
      <c r="G93" s="75"/>
    </row>
    <row r="94" spans="1:7" x14ac:dyDescent="0.25">
      <c r="A94" s="2" t="s">
        <v>1429</v>
      </c>
      <c r="B94" s="2" t="s">
        <v>1430</v>
      </c>
      <c r="C94" s="2" t="s">
        <v>663</v>
      </c>
      <c r="D94" s="2" t="s">
        <v>635</v>
      </c>
      <c r="E94" s="2">
        <v>135</v>
      </c>
      <c r="G94" s="75"/>
    </row>
    <row r="95" spans="1:7" x14ac:dyDescent="0.25">
      <c r="A95" s="2" t="s">
        <v>1429</v>
      </c>
      <c r="B95" s="2" t="s">
        <v>1430</v>
      </c>
      <c r="C95" s="2" t="s">
        <v>663</v>
      </c>
      <c r="D95" s="2" t="s">
        <v>636</v>
      </c>
      <c r="E95" s="2">
        <v>155</v>
      </c>
      <c r="G95" s="75"/>
    </row>
    <row r="96" spans="1:7" x14ac:dyDescent="0.25">
      <c r="A96" s="2" t="s">
        <v>1429</v>
      </c>
      <c r="B96" s="2" t="s">
        <v>1430</v>
      </c>
      <c r="C96" s="2" t="s">
        <v>664</v>
      </c>
      <c r="D96" s="2" t="s">
        <v>630</v>
      </c>
      <c r="E96" s="2">
        <v>81</v>
      </c>
      <c r="G96" s="75"/>
    </row>
    <row r="97" spans="1:7" x14ac:dyDescent="0.25">
      <c r="A97" s="2" t="s">
        <v>1429</v>
      </c>
      <c r="B97" s="2" t="s">
        <v>1430</v>
      </c>
      <c r="C97" s="2" t="s">
        <v>664</v>
      </c>
      <c r="D97" s="2" t="s">
        <v>631</v>
      </c>
      <c r="E97" s="2">
        <v>100</v>
      </c>
      <c r="G97" s="75"/>
    </row>
    <row r="98" spans="1:7" x14ac:dyDescent="0.25">
      <c r="A98" s="2" t="s">
        <v>1429</v>
      </c>
      <c r="B98" s="2" t="s">
        <v>1430</v>
      </c>
      <c r="C98" s="2" t="s">
        <v>664</v>
      </c>
      <c r="D98" s="2" t="s">
        <v>632</v>
      </c>
      <c r="E98" s="2">
        <v>110</v>
      </c>
      <c r="G98" s="75"/>
    </row>
    <row r="99" spans="1:7" x14ac:dyDescent="0.25">
      <c r="A99" s="2" t="s">
        <v>1429</v>
      </c>
      <c r="B99" s="2" t="s">
        <v>1430</v>
      </c>
      <c r="C99" s="2" t="s">
        <v>664</v>
      </c>
      <c r="D99" s="2" t="s">
        <v>633</v>
      </c>
      <c r="E99" s="2">
        <v>110</v>
      </c>
      <c r="G99" s="75"/>
    </row>
    <row r="100" spans="1:7" x14ac:dyDescent="0.25">
      <c r="A100" s="2" t="s">
        <v>1429</v>
      </c>
      <c r="B100" s="2" t="s">
        <v>1430</v>
      </c>
      <c r="C100" s="2" t="s">
        <v>664</v>
      </c>
      <c r="D100" s="2" t="s">
        <v>634</v>
      </c>
      <c r="E100" s="2">
        <v>120</v>
      </c>
      <c r="G100" s="75"/>
    </row>
    <row r="101" spans="1:7" x14ac:dyDescent="0.25">
      <c r="A101" s="2" t="s">
        <v>1429</v>
      </c>
      <c r="B101" s="2" t="s">
        <v>1430</v>
      </c>
      <c r="C101" s="2" t="s">
        <v>664</v>
      </c>
      <c r="D101" s="2" t="s">
        <v>635</v>
      </c>
      <c r="E101" s="2">
        <v>135</v>
      </c>
      <c r="G101" s="75"/>
    </row>
    <row r="102" spans="1:7" x14ac:dyDescent="0.25">
      <c r="A102" s="2" t="s">
        <v>1429</v>
      </c>
      <c r="B102" s="2" t="s">
        <v>1430</v>
      </c>
      <c r="C102" s="2" t="s">
        <v>664</v>
      </c>
      <c r="D102" s="2" t="s">
        <v>636</v>
      </c>
      <c r="E102" s="2">
        <v>155</v>
      </c>
      <c r="G102" s="75"/>
    </row>
    <row r="103" spans="1:7" x14ac:dyDescent="0.25">
      <c r="A103" s="2" t="s">
        <v>1429</v>
      </c>
      <c r="B103" s="2" t="s">
        <v>1430</v>
      </c>
      <c r="C103" s="2" t="s">
        <v>665</v>
      </c>
      <c r="D103" s="2" t="s">
        <v>666</v>
      </c>
      <c r="E103" s="2">
        <v>110</v>
      </c>
      <c r="G103" s="75"/>
    </row>
    <row r="104" spans="1:7" x14ac:dyDescent="0.25">
      <c r="A104" s="2" t="s">
        <v>1429</v>
      </c>
      <c r="B104" s="2" t="s">
        <v>1430</v>
      </c>
      <c r="C104" s="2" t="s">
        <v>665</v>
      </c>
      <c r="D104" s="2" t="s">
        <v>667</v>
      </c>
      <c r="E104" s="2">
        <v>120</v>
      </c>
      <c r="G104" s="75"/>
    </row>
    <row r="105" spans="1:7" x14ac:dyDescent="0.25">
      <c r="A105" s="2" t="s">
        <v>1429</v>
      </c>
      <c r="B105" s="2" t="s">
        <v>1430</v>
      </c>
      <c r="C105" s="2" t="s">
        <v>665</v>
      </c>
      <c r="D105" s="2" t="s">
        <v>646</v>
      </c>
      <c r="E105" s="2">
        <v>120</v>
      </c>
      <c r="G105" s="75"/>
    </row>
    <row r="106" spans="1:7" x14ac:dyDescent="0.25">
      <c r="A106" s="2" t="s">
        <v>1429</v>
      </c>
      <c r="B106" s="2" t="s">
        <v>1430</v>
      </c>
      <c r="C106" s="2" t="s">
        <v>665</v>
      </c>
      <c r="D106" s="2" t="s">
        <v>668</v>
      </c>
      <c r="E106" s="2">
        <v>135</v>
      </c>
      <c r="G106" s="75"/>
    </row>
    <row r="107" spans="1:7" x14ac:dyDescent="0.25">
      <c r="A107" s="2" t="s">
        <v>1429</v>
      </c>
      <c r="B107" s="2" t="s">
        <v>1430</v>
      </c>
      <c r="C107" s="2" t="s">
        <v>665</v>
      </c>
      <c r="D107" s="2" t="s">
        <v>669</v>
      </c>
      <c r="E107" s="2">
        <v>110</v>
      </c>
      <c r="G107" s="75"/>
    </row>
    <row r="108" spans="1:7" x14ac:dyDescent="0.25">
      <c r="A108" s="2" t="s">
        <v>1429</v>
      </c>
      <c r="B108" s="2" t="s">
        <v>1430</v>
      </c>
      <c r="C108" s="2" t="s">
        <v>665</v>
      </c>
      <c r="D108" s="2" t="s">
        <v>670</v>
      </c>
      <c r="E108" s="2">
        <v>120</v>
      </c>
      <c r="G108" s="75"/>
    </row>
    <row r="109" spans="1:7" x14ac:dyDescent="0.25">
      <c r="A109" s="2" t="s">
        <v>1429</v>
      </c>
      <c r="B109" s="2" t="s">
        <v>1430</v>
      </c>
      <c r="C109" s="2" t="s">
        <v>671</v>
      </c>
      <c r="D109" s="2" t="s">
        <v>653</v>
      </c>
      <c r="E109" s="2">
        <v>81</v>
      </c>
      <c r="G109" s="75"/>
    </row>
    <row r="110" spans="1:7" x14ac:dyDescent="0.25">
      <c r="A110" s="2" t="s">
        <v>1429</v>
      </c>
      <c r="B110" s="2" t="s">
        <v>1430</v>
      </c>
      <c r="C110" s="2" t="s">
        <v>671</v>
      </c>
      <c r="D110" s="2" t="s">
        <v>654</v>
      </c>
      <c r="E110" s="2">
        <v>100</v>
      </c>
      <c r="G110" s="75"/>
    </row>
    <row r="111" spans="1:7" x14ac:dyDescent="0.25">
      <c r="A111" s="2" t="s">
        <v>1429</v>
      </c>
      <c r="B111" s="2" t="s">
        <v>1430</v>
      </c>
      <c r="C111" s="2" t="s">
        <v>671</v>
      </c>
      <c r="D111" s="2" t="s">
        <v>655</v>
      </c>
      <c r="E111" s="2">
        <v>110</v>
      </c>
      <c r="G111" s="75"/>
    </row>
    <row r="112" spans="1:7" x14ac:dyDescent="0.25">
      <c r="A112" s="2" t="s">
        <v>1429</v>
      </c>
      <c r="B112" s="2" t="s">
        <v>1430</v>
      </c>
      <c r="C112" s="2" t="s">
        <v>671</v>
      </c>
      <c r="D112" s="2" t="s">
        <v>656</v>
      </c>
      <c r="E112" s="2">
        <v>110</v>
      </c>
      <c r="G112" s="75"/>
    </row>
    <row r="113" spans="1:7" x14ac:dyDescent="0.25">
      <c r="A113" s="2" t="s">
        <v>1429</v>
      </c>
      <c r="B113" s="2" t="s">
        <v>1430</v>
      </c>
      <c r="C113" s="2" t="s">
        <v>671</v>
      </c>
      <c r="D113" s="2" t="s">
        <v>657</v>
      </c>
      <c r="E113" s="2">
        <v>120</v>
      </c>
      <c r="G113" s="75"/>
    </row>
    <row r="114" spans="1:7" x14ac:dyDescent="0.25">
      <c r="A114" s="2" t="s">
        <v>1429</v>
      </c>
      <c r="B114" s="2" t="s">
        <v>1430</v>
      </c>
      <c r="C114" s="2" t="s">
        <v>671</v>
      </c>
      <c r="D114" s="2" t="s">
        <v>658</v>
      </c>
      <c r="E114" s="2">
        <v>135</v>
      </c>
      <c r="G114" s="75"/>
    </row>
    <row r="115" spans="1:7" x14ac:dyDescent="0.25">
      <c r="A115" s="2" t="s">
        <v>1429</v>
      </c>
      <c r="B115" s="2" t="s">
        <v>1430</v>
      </c>
      <c r="C115" s="2" t="s">
        <v>671</v>
      </c>
      <c r="D115" s="2" t="s">
        <v>659</v>
      </c>
      <c r="E115" s="2">
        <v>155</v>
      </c>
      <c r="G115" s="75"/>
    </row>
    <row r="116" spans="1:7" x14ac:dyDescent="0.25">
      <c r="A116" s="2" t="s">
        <v>1429</v>
      </c>
      <c r="B116" s="2" t="s">
        <v>1430</v>
      </c>
      <c r="C116" s="2" t="s">
        <v>691</v>
      </c>
      <c r="D116" s="2" t="s">
        <v>647</v>
      </c>
      <c r="E116" s="2">
        <v>167</v>
      </c>
      <c r="G116" s="75"/>
    </row>
    <row r="117" spans="1:7" x14ac:dyDescent="0.25">
      <c r="A117" s="2" t="s">
        <v>1429</v>
      </c>
      <c r="B117" s="2" t="s">
        <v>1430</v>
      </c>
      <c r="C117" s="2" t="s">
        <v>691</v>
      </c>
      <c r="D117" s="2" t="s">
        <v>648</v>
      </c>
      <c r="E117" s="2">
        <v>194</v>
      </c>
      <c r="G117" s="75"/>
    </row>
    <row r="118" spans="1:7" x14ac:dyDescent="0.25">
      <c r="A118" s="2" t="s">
        <v>1429</v>
      </c>
      <c r="B118" s="2" t="s">
        <v>1430</v>
      </c>
      <c r="C118" s="2" t="s">
        <v>691</v>
      </c>
      <c r="D118" s="2" t="s">
        <v>634</v>
      </c>
      <c r="E118" s="2">
        <v>242</v>
      </c>
      <c r="G118" s="75"/>
    </row>
    <row r="119" spans="1:7" x14ac:dyDescent="0.25">
      <c r="A119" s="2" t="s">
        <v>1429</v>
      </c>
      <c r="B119" s="2" t="s">
        <v>1430</v>
      </c>
      <c r="C119" s="2" t="s">
        <v>691</v>
      </c>
      <c r="D119" s="2" t="s">
        <v>649</v>
      </c>
      <c r="E119" s="2">
        <v>242</v>
      </c>
      <c r="G119" s="75"/>
    </row>
    <row r="120" spans="1:7" x14ac:dyDescent="0.25">
      <c r="A120" s="2" t="s">
        <v>1429</v>
      </c>
      <c r="B120" s="2" t="s">
        <v>1430</v>
      </c>
      <c r="C120" s="2" t="s">
        <v>691</v>
      </c>
      <c r="D120" s="2" t="s">
        <v>635</v>
      </c>
      <c r="E120" s="2">
        <v>282</v>
      </c>
      <c r="G120" s="75"/>
    </row>
    <row r="121" spans="1:7" x14ac:dyDescent="0.25">
      <c r="A121" s="2" t="s">
        <v>1429</v>
      </c>
      <c r="B121" s="2" t="s">
        <v>1430</v>
      </c>
      <c r="C121" s="2" t="s">
        <v>691</v>
      </c>
      <c r="D121" s="2" t="s">
        <v>650</v>
      </c>
      <c r="E121" s="2">
        <v>282</v>
      </c>
      <c r="G121" s="75"/>
    </row>
    <row r="122" spans="1:7" x14ac:dyDescent="0.25">
      <c r="A122" s="2" t="s">
        <v>1429</v>
      </c>
      <c r="B122" s="2" t="s">
        <v>1430</v>
      </c>
      <c r="C122" s="2" t="s">
        <v>691</v>
      </c>
      <c r="D122" s="2" t="s">
        <v>636</v>
      </c>
      <c r="E122" s="2">
        <v>304</v>
      </c>
      <c r="G122" s="75"/>
    </row>
    <row r="123" spans="1:7" x14ac:dyDescent="0.25">
      <c r="A123" s="2" t="s">
        <v>1429</v>
      </c>
      <c r="B123" s="2" t="s">
        <v>1430</v>
      </c>
      <c r="C123" s="2" t="s">
        <v>691</v>
      </c>
      <c r="D123" s="2" t="s">
        <v>651</v>
      </c>
      <c r="E123" s="2">
        <v>304</v>
      </c>
      <c r="G123" s="75"/>
    </row>
    <row r="124" spans="1:7" x14ac:dyDescent="0.25">
      <c r="A124" s="2" t="s">
        <v>1429</v>
      </c>
      <c r="B124" s="2" t="s">
        <v>1430</v>
      </c>
      <c r="C124" s="2" t="s">
        <v>694</v>
      </c>
      <c r="D124" s="2" t="s">
        <v>647</v>
      </c>
      <c r="E124" s="2">
        <v>167</v>
      </c>
      <c r="G124" s="75"/>
    </row>
    <row r="125" spans="1:7" x14ac:dyDescent="0.25">
      <c r="A125" s="2" t="s">
        <v>1429</v>
      </c>
      <c r="B125" s="2" t="s">
        <v>1430</v>
      </c>
      <c r="C125" s="2" t="s">
        <v>694</v>
      </c>
      <c r="D125" s="2" t="s">
        <v>648</v>
      </c>
      <c r="E125" s="2">
        <v>194</v>
      </c>
      <c r="G125" s="75"/>
    </row>
    <row r="126" spans="1:7" x14ac:dyDescent="0.25">
      <c r="A126" s="2" t="s">
        <v>1429</v>
      </c>
      <c r="B126" s="2" t="s">
        <v>1430</v>
      </c>
      <c r="C126" s="2" t="s">
        <v>694</v>
      </c>
      <c r="D126" s="2" t="s">
        <v>634</v>
      </c>
      <c r="E126" s="2">
        <v>242</v>
      </c>
      <c r="G126" s="75"/>
    </row>
    <row r="127" spans="1:7" x14ac:dyDescent="0.25">
      <c r="A127" s="2" t="s">
        <v>1429</v>
      </c>
      <c r="B127" s="2" t="s">
        <v>1430</v>
      </c>
      <c r="C127" s="2" t="s">
        <v>694</v>
      </c>
      <c r="D127" s="2" t="s">
        <v>649</v>
      </c>
      <c r="E127" s="2">
        <v>242</v>
      </c>
      <c r="G127" s="75"/>
    </row>
    <row r="128" spans="1:7" x14ac:dyDescent="0.25">
      <c r="A128" s="2" t="s">
        <v>1429</v>
      </c>
      <c r="B128" s="2" t="s">
        <v>1430</v>
      </c>
      <c r="C128" s="2" t="s">
        <v>694</v>
      </c>
      <c r="D128" s="2" t="s">
        <v>635</v>
      </c>
      <c r="E128" s="2">
        <v>282</v>
      </c>
      <c r="G128" s="75"/>
    </row>
    <row r="129" spans="1:7" x14ac:dyDescent="0.25">
      <c r="A129" s="2" t="s">
        <v>1429</v>
      </c>
      <c r="B129" s="2" t="s">
        <v>1430</v>
      </c>
      <c r="C129" s="2" t="s">
        <v>694</v>
      </c>
      <c r="D129" s="2" t="s">
        <v>650</v>
      </c>
      <c r="E129" s="2">
        <v>282</v>
      </c>
      <c r="G129" s="75"/>
    </row>
    <row r="130" spans="1:7" x14ac:dyDescent="0.25">
      <c r="A130" s="2" t="s">
        <v>1429</v>
      </c>
      <c r="B130" s="2" t="s">
        <v>1430</v>
      </c>
      <c r="C130" s="2" t="s">
        <v>694</v>
      </c>
      <c r="D130" s="2" t="s">
        <v>636</v>
      </c>
      <c r="E130" s="2">
        <v>304</v>
      </c>
      <c r="G130" s="75"/>
    </row>
    <row r="131" spans="1:7" x14ac:dyDescent="0.25">
      <c r="A131" s="2" t="s">
        <v>1429</v>
      </c>
      <c r="B131" s="2" t="s">
        <v>1430</v>
      </c>
      <c r="C131" s="2" t="s">
        <v>694</v>
      </c>
      <c r="D131" s="2" t="s">
        <v>651</v>
      </c>
      <c r="E131" s="2">
        <v>304</v>
      </c>
      <c r="G131" s="75"/>
    </row>
    <row r="132" spans="1:7" x14ac:dyDescent="0.25">
      <c r="A132" s="2" t="s">
        <v>1429</v>
      </c>
      <c r="B132" s="2" t="s">
        <v>1430</v>
      </c>
      <c r="C132" s="2" t="s">
        <v>695</v>
      </c>
      <c r="D132" s="2" t="s">
        <v>696</v>
      </c>
      <c r="E132" s="2">
        <v>374</v>
      </c>
      <c r="G132" s="75"/>
    </row>
    <row r="133" spans="1:7" x14ac:dyDescent="0.25">
      <c r="A133" s="2" t="s">
        <v>1429</v>
      </c>
      <c r="B133" s="2" t="s">
        <v>1430</v>
      </c>
      <c r="C133" s="2" t="s">
        <v>695</v>
      </c>
      <c r="D133" s="2" t="s">
        <v>697</v>
      </c>
      <c r="E133" s="2">
        <v>374</v>
      </c>
      <c r="G133" s="75"/>
    </row>
    <row r="134" spans="1:7" x14ac:dyDescent="0.25">
      <c r="A134" s="2" t="s">
        <v>1429</v>
      </c>
      <c r="B134" s="2" t="s">
        <v>1430</v>
      </c>
      <c r="C134" s="2" t="s">
        <v>695</v>
      </c>
      <c r="D134" s="2" t="s">
        <v>698</v>
      </c>
      <c r="E134" s="2">
        <v>374</v>
      </c>
      <c r="G134" s="75"/>
    </row>
    <row r="135" spans="1:7" x14ac:dyDescent="0.25">
      <c r="A135" s="2" t="s">
        <v>1429</v>
      </c>
      <c r="B135" s="2" t="s">
        <v>1430</v>
      </c>
      <c r="C135" s="2" t="s">
        <v>695</v>
      </c>
      <c r="D135" s="2" t="s">
        <v>699</v>
      </c>
      <c r="E135" s="2">
        <v>374</v>
      </c>
      <c r="G135" s="75"/>
    </row>
    <row r="136" spans="1:7" x14ac:dyDescent="0.25">
      <c r="A136" s="2" t="s">
        <v>1429</v>
      </c>
      <c r="B136" s="2" t="s">
        <v>1430</v>
      </c>
      <c r="C136" s="2" t="s">
        <v>695</v>
      </c>
      <c r="D136" s="2" t="s">
        <v>700</v>
      </c>
      <c r="E136" s="2">
        <v>374</v>
      </c>
      <c r="G136" s="75"/>
    </row>
    <row r="137" spans="1:7" x14ac:dyDescent="0.25">
      <c r="A137" s="2" t="s">
        <v>1429</v>
      </c>
      <c r="B137" s="2" t="s">
        <v>1430</v>
      </c>
      <c r="C137" s="2" t="s">
        <v>695</v>
      </c>
      <c r="D137" s="2" t="s">
        <v>701</v>
      </c>
      <c r="E137" s="2">
        <v>374</v>
      </c>
      <c r="G137" s="75"/>
    </row>
    <row r="138" spans="1:7" x14ac:dyDescent="0.25">
      <c r="A138" s="2" t="s">
        <v>1429</v>
      </c>
      <c r="B138" s="2" t="s">
        <v>1430</v>
      </c>
      <c r="C138" s="2" t="s">
        <v>695</v>
      </c>
      <c r="D138" s="2" t="s">
        <v>702</v>
      </c>
      <c r="E138" s="2">
        <v>374</v>
      </c>
      <c r="G138" s="75"/>
    </row>
    <row r="139" spans="1:7" x14ac:dyDescent="0.25">
      <c r="A139" s="2" t="s">
        <v>1429</v>
      </c>
      <c r="B139" s="2" t="s">
        <v>1430</v>
      </c>
      <c r="C139" s="2" t="s">
        <v>695</v>
      </c>
      <c r="D139" s="2" t="s">
        <v>703</v>
      </c>
      <c r="E139" s="2">
        <v>374</v>
      </c>
      <c r="G139" s="75"/>
    </row>
    <row r="140" spans="1:7" x14ac:dyDescent="0.25">
      <c r="A140" s="2" t="s">
        <v>1429</v>
      </c>
      <c r="B140" s="2" t="s">
        <v>1430</v>
      </c>
      <c r="C140" s="2" t="s">
        <v>695</v>
      </c>
      <c r="D140" s="2" t="s">
        <v>704</v>
      </c>
      <c r="E140" s="2">
        <v>374</v>
      </c>
      <c r="G140" s="75"/>
    </row>
    <row r="141" spans="1:7" x14ac:dyDescent="0.25">
      <c r="A141" s="2" t="s">
        <v>1429</v>
      </c>
      <c r="B141" s="2" t="s">
        <v>1430</v>
      </c>
      <c r="C141" s="2" t="s">
        <v>695</v>
      </c>
      <c r="D141" s="2" t="s">
        <v>705</v>
      </c>
      <c r="E141" s="2">
        <v>374</v>
      </c>
      <c r="G141" s="75"/>
    </row>
    <row r="142" spans="1:7" x14ac:dyDescent="0.25">
      <c r="A142" s="2" t="s">
        <v>1431</v>
      </c>
      <c r="B142" s="2" t="s">
        <v>1432</v>
      </c>
      <c r="C142" s="2" t="s">
        <v>603</v>
      </c>
      <c r="D142" s="2" t="s">
        <v>604</v>
      </c>
      <c r="E142" s="2">
        <v>60</v>
      </c>
      <c r="G142" s="75"/>
    </row>
    <row r="143" spans="1:7" x14ac:dyDescent="0.25">
      <c r="A143" s="2" t="s">
        <v>1431</v>
      </c>
      <c r="B143" s="2" t="s">
        <v>1432</v>
      </c>
      <c r="C143" s="2" t="s">
        <v>603</v>
      </c>
      <c r="D143" s="2" t="s">
        <v>605</v>
      </c>
      <c r="E143" s="2">
        <v>72</v>
      </c>
      <c r="G143" s="75"/>
    </row>
    <row r="144" spans="1:7" x14ac:dyDescent="0.25">
      <c r="A144" s="2" t="s">
        <v>1431</v>
      </c>
      <c r="B144" s="2" t="s">
        <v>1432</v>
      </c>
      <c r="C144" s="2" t="s">
        <v>603</v>
      </c>
      <c r="D144" s="2" t="s">
        <v>606</v>
      </c>
      <c r="E144" s="2">
        <v>152</v>
      </c>
      <c r="G144" s="75"/>
    </row>
    <row r="145" spans="1:7" x14ac:dyDescent="0.25">
      <c r="A145" s="2" t="s">
        <v>1431</v>
      </c>
      <c r="B145" s="2" t="s">
        <v>1432</v>
      </c>
      <c r="C145" s="2" t="s">
        <v>603</v>
      </c>
      <c r="D145" s="2" t="s">
        <v>607</v>
      </c>
      <c r="E145" s="2">
        <v>172</v>
      </c>
      <c r="G145" s="75"/>
    </row>
    <row r="146" spans="1:7" x14ac:dyDescent="0.25">
      <c r="A146" s="2" t="s">
        <v>1431</v>
      </c>
      <c r="B146" s="2" t="s">
        <v>1432</v>
      </c>
      <c r="C146" s="2" t="s">
        <v>603</v>
      </c>
      <c r="D146" s="2" t="s">
        <v>608</v>
      </c>
      <c r="E146" s="2">
        <v>196</v>
      </c>
      <c r="G146" s="75"/>
    </row>
    <row r="147" spans="1:7" x14ac:dyDescent="0.25">
      <c r="A147" s="2" t="s">
        <v>1431</v>
      </c>
      <c r="B147" s="2" t="s">
        <v>1432</v>
      </c>
      <c r="C147" s="2" t="s">
        <v>603</v>
      </c>
      <c r="D147" s="2" t="s">
        <v>609</v>
      </c>
      <c r="E147" s="2">
        <v>224</v>
      </c>
      <c r="G147" s="75"/>
    </row>
    <row r="148" spans="1:7" x14ac:dyDescent="0.25">
      <c r="A148" s="2" t="s">
        <v>1431</v>
      </c>
      <c r="B148" s="2" t="s">
        <v>1432</v>
      </c>
      <c r="C148" s="2" t="s">
        <v>603</v>
      </c>
      <c r="D148" s="2" t="s">
        <v>610</v>
      </c>
      <c r="E148" s="2">
        <v>248</v>
      </c>
      <c r="G148" s="75"/>
    </row>
    <row r="149" spans="1:7" x14ac:dyDescent="0.25">
      <c r="A149" s="2" t="s">
        <v>1431</v>
      </c>
      <c r="B149" s="2" t="s">
        <v>1432</v>
      </c>
      <c r="C149" s="2" t="s">
        <v>603</v>
      </c>
      <c r="D149" s="2" t="s">
        <v>611</v>
      </c>
      <c r="E149" s="2">
        <v>276</v>
      </c>
      <c r="G149" s="75"/>
    </row>
    <row r="150" spans="1:7" x14ac:dyDescent="0.25">
      <c r="A150" s="2" t="s">
        <v>1431</v>
      </c>
      <c r="B150" s="2" t="s">
        <v>1432</v>
      </c>
      <c r="C150" s="2" t="s">
        <v>603</v>
      </c>
      <c r="D150" s="2" t="s">
        <v>612</v>
      </c>
      <c r="E150" s="2">
        <v>300</v>
      </c>
      <c r="G150" s="75"/>
    </row>
    <row r="151" spans="1:7" x14ac:dyDescent="0.25">
      <c r="A151" s="2" t="s">
        <v>1431</v>
      </c>
      <c r="B151" s="2" t="s">
        <v>1432</v>
      </c>
      <c r="C151" s="2" t="s">
        <v>603</v>
      </c>
      <c r="D151" s="2" t="s">
        <v>613</v>
      </c>
      <c r="E151" s="2">
        <v>316</v>
      </c>
      <c r="G151" s="75"/>
    </row>
    <row r="152" spans="1:7" x14ac:dyDescent="0.25">
      <c r="A152" s="2" t="s">
        <v>1431</v>
      </c>
      <c r="B152" s="2" t="s">
        <v>1432</v>
      </c>
      <c r="C152" s="2" t="s">
        <v>603</v>
      </c>
      <c r="D152" s="2" t="s">
        <v>614</v>
      </c>
      <c r="E152" s="2">
        <v>356</v>
      </c>
      <c r="G152" s="75"/>
    </row>
    <row r="153" spans="1:7" x14ac:dyDescent="0.25">
      <c r="A153" s="2" t="s">
        <v>1433</v>
      </c>
      <c r="B153" s="2" t="s">
        <v>1434</v>
      </c>
      <c r="C153" s="2" t="s">
        <v>603</v>
      </c>
      <c r="D153" s="2" t="s">
        <v>604</v>
      </c>
      <c r="E153" s="2">
        <v>85</v>
      </c>
      <c r="G153" s="75"/>
    </row>
    <row r="154" spans="1:7" x14ac:dyDescent="0.25">
      <c r="A154" s="2" t="s">
        <v>1433</v>
      </c>
      <c r="B154" s="2" t="s">
        <v>1434</v>
      </c>
      <c r="C154" s="2" t="s">
        <v>603</v>
      </c>
      <c r="D154" s="2" t="s">
        <v>605</v>
      </c>
      <c r="E154" s="2">
        <v>132</v>
      </c>
      <c r="G154" s="75"/>
    </row>
    <row r="155" spans="1:7" x14ac:dyDescent="0.25">
      <c r="A155" s="2" t="s">
        <v>1433</v>
      </c>
      <c r="B155" s="2" t="s">
        <v>1434</v>
      </c>
      <c r="C155" s="2" t="s">
        <v>603</v>
      </c>
      <c r="D155" s="2" t="s">
        <v>606</v>
      </c>
      <c r="E155" s="2">
        <v>157</v>
      </c>
      <c r="G155" s="75"/>
    </row>
    <row r="156" spans="1:7" x14ac:dyDescent="0.25">
      <c r="A156" s="2" t="s">
        <v>1433</v>
      </c>
      <c r="B156" s="2" t="s">
        <v>1434</v>
      </c>
      <c r="C156" s="2" t="s">
        <v>603</v>
      </c>
      <c r="D156" s="2" t="s">
        <v>607</v>
      </c>
      <c r="E156" s="2">
        <v>179</v>
      </c>
      <c r="G156" s="75"/>
    </row>
    <row r="157" spans="1:7" x14ac:dyDescent="0.25">
      <c r="A157" s="2" t="s">
        <v>1433</v>
      </c>
      <c r="B157" s="2" t="s">
        <v>1434</v>
      </c>
      <c r="C157" s="2" t="s">
        <v>603</v>
      </c>
      <c r="D157" s="2" t="s">
        <v>608</v>
      </c>
      <c r="E157" s="2">
        <v>212</v>
      </c>
      <c r="G157" s="75"/>
    </row>
    <row r="158" spans="1:7" x14ac:dyDescent="0.25">
      <c r="A158" s="2" t="s">
        <v>1433</v>
      </c>
      <c r="B158" s="2" t="s">
        <v>1434</v>
      </c>
      <c r="C158" s="2" t="s">
        <v>603</v>
      </c>
      <c r="D158" s="2" t="s">
        <v>609</v>
      </c>
      <c r="E158" s="2">
        <v>233</v>
      </c>
      <c r="G158" s="75"/>
    </row>
    <row r="159" spans="1:7" x14ac:dyDescent="0.25">
      <c r="A159" s="2" t="s">
        <v>1433</v>
      </c>
      <c r="B159" s="2" t="s">
        <v>1434</v>
      </c>
      <c r="C159" s="2" t="s">
        <v>603</v>
      </c>
      <c r="D159" s="2" t="s">
        <v>610</v>
      </c>
      <c r="E159" s="2">
        <v>240</v>
      </c>
      <c r="G159" s="75"/>
    </row>
    <row r="160" spans="1:7" x14ac:dyDescent="0.25">
      <c r="A160" s="2" t="s">
        <v>1433</v>
      </c>
      <c r="B160" s="2" t="s">
        <v>1434</v>
      </c>
      <c r="C160" s="2" t="s">
        <v>603</v>
      </c>
      <c r="D160" s="2" t="s">
        <v>611</v>
      </c>
      <c r="E160" s="2">
        <v>260</v>
      </c>
      <c r="G160" s="75"/>
    </row>
    <row r="161" spans="1:7" x14ac:dyDescent="0.25">
      <c r="A161" s="2" t="s">
        <v>1433</v>
      </c>
      <c r="B161" s="2" t="s">
        <v>1434</v>
      </c>
      <c r="C161" s="2" t="s">
        <v>603</v>
      </c>
      <c r="D161" s="2" t="s">
        <v>612</v>
      </c>
      <c r="E161" s="2">
        <v>276</v>
      </c>
      <c r="G161" s="75"/>
    </row>
    <row r="162" spans="1:7" x14ac:dyDescent="0.25">
      <c r="A162" s="2" t="s">
        <v>1433</v>
      </c>
      <c r="B162" s="2" t="s">
        <v>1434</v>
      </c>
      <c r="C162" s="2" t="s">
        <v>627</v>
      </c>
      <c r="D162" s="2" t="s">
        <v>628</v>
      </c>
      <c r="E162" s="2">
        <v>85</v>
      </c>
      <c r="G162" s="75"/>
    </row>
    <row r="163" spans="1:7" x14ac:dyDescent="0.25">
      <c r="A163" s="2" t="s">
        <v>1433</v>
      </c>
      <c r="B163" s="2" t="s">
        <v>1434</v>
      </c>
      <c r="C163" s="2" t="s">
        <v>691</v>
      </c>
      <c r="D163" s="2" t="s">
        <v>693</v>
      </c>
      <c r="E163" s="2">
        <v>50</v>
      </c>
      <c r="G163" s="75"/>
    </row>
    <row r="164" spans="1:7" x14ac:dyDescent="0.25">
      <c r="A164" s="2" t="s">
        <v>1433</v>
      </c>
      <c r="B164" s="2" t="s">
        <v>1434</v>
      </c>
      <c r="C164" s="2" t="s">
        <v>691</v>
      </c>
      <c r="D164" s="2" t="s">
        <v>647</v>
      </c>
      <c r="E164" s="2">
        <v>157</v>
      </c>
      <c r="G164" s="75"/>
    </row>
    <row r="165" spans="1:7" x14ac:dyDescent="0.25">
      <c r="A165" s="2" t="s">
        <v>1433</v>
      </c>
      <c r="B165" s="2" t="s">
        <v>1434</v>
      </c>
      <c r="C165" s="2" t="s">
        <v>691</v>
      </c>
      <c r="D165" s="2" t="s">
        <v>648</v>
      </c>
      <c r="E165" s="2">
        <v>179</v>
      </c>
      <c r="G165" s="75"/>
    </row>
    <row r="166" spans="1:7" x14ac:dyDescent="0.25">
      <c r="A166" s="2" t="s">
        <v>1433</v>
      </c>
      <c r="B166" s="2" t="s">
        <v>1434</v>
      </c>
      <c r="C166" s="2" t="s">
        <v>691</v>
      </c>
      <c r="D166" s="2" t="s">
        <v>634</v>
      </c>
      <c r="E166" s="2">
        <v>212</v>
      </c>
      <c r="G166" s="75"/>
    </row>
    <row r="167" spans="1:7" x14ac:dyDescent="0.25">
      <c r="A167" s="2" t="s">
        <v>1433</v>
      </c>
      <c r="B167" s="2" t="s">
        <v>1434</v>
      </c>
      <c r="C167" s="2" t="s">
        <v>691</v>
      </c>
      <c r="D167" s="2" t="s">
        <v>649</v>
      </c>
      <c r="E167" s="2">
        <v>212</v>
      </c>
      <c r="G167" s="75"/>
    </row>
    <row r="168" spans="1:7" x14ac:dyDescent="0.25">
      <c r="A168" s="2" t="s">
        <v>1433</v>
      </c>
      <c r="B168" s="2" t="s">
        <v>1434</v>
      </c>
      <c r="C168" s="2" t="s">
        <v>691</v>
      </c>
      <c r="D168" s="2" t="s">
        <v>635</v>
      </c>
      <c r="E168" s="2">
        <v>233</v>
      </c>
      <c r="G168" s="75"/>
    </row>
    <row r="169" spans="1:7" x14ac:dyDescent="0.25">
      <c r="A169" s="2" t="s">
        <v>1433</v>
      </c>
      <c r="B169" s="2" t="s">
        <v>1434</v>
      </c>
      <c r="C169" s="2" t="s">
        <v>691</v>
      </c>
      <c r="D169" s="2" t="s">
        <v>650</v>
      </c>
      <c r="E169" s="2">
        <v>233</v>
      </c>
      <c r="G169" s="75"/>
    </row>
    <row r="170" spans="1:7" x14ac:dyDescent="0.25">
      <c r="A170" s="2" t="s">
        <v>1433</v>
      </c>
      <c r="B170" s="2" t="s">
        <v>1434</v>
      </c>
      <c r="C170" s="2" t="s">
        <v>691</v>
      </c>
      <c r="D170" s="2" t="s">
        <v>636</v>
      </c>
      <c r="E170" s="2">
        <v>240</v>
      </c>
      <c r="G170" s="75"/>
    </row>
    <row r="171" spans="1:7" x14ac:dyDescent="0.25">
      <c r="A171" s="2" t="s">
        <v>1433</v>
      </c>
      <c r="B171" s="2" t="s">
        <v>1434</v>
      </c>
      <c r="C171" s="2" t="s">
        <v>691</v>
      </c>
      <c r="D171" s="2" t="s">
        <v>651</v>
      </c>
      <c r="E171" s="2">
        <v>240</v>
      </c>
      <c r="G171" s="75"/>
    </row>
    <row r="172" spans="1:7" x14ac:dyDescent="0.25">
      <c r="A172" s="2" t="s">
        <v>1433</v>
      </c>
      <c r="B172" s="2" t="s">
        <v>1434</v>
      </c>
      <c r="C172" s="2" t="s">
        <v>694</v>
      </c>
      <c r="D172" s="2" t="s">
        <v>693</v>
      </c>
      <c r="E172" s="2">
        <v>50</v>
      </c>
      <c r="G172" s="75"/>
    </row>
    <row r="173" spans="1:7" x14ac:dyDescent="0.25">
      <c r="A173" s="2" t="s">
        <v>1433</v>
      </c>
      <c r="B173" s="2" t="s">
        <v>1434</v>
      </c>
      <c r="C173" s="2" t="s">
        <v>694</v>
      </c>
      <c r="D173" s="2" t="s">
        <v>647</v>
      </c>
      <c r="E173" s="2">
        <v>157</v>
      </c>
      <c r="G173" s="75"/>
    </row>
    <row r="174" spans="1:7" x14ac:dyDescent="0.25">
      <c r="A174" s="2" t="s">
        <v>1433</v>
      </c>
      <c r="B174" s="2" t="s">
        <v>1434</v>
      </c>
      <c r="C174" s="2" t="s">
        <v>694</v>
      </c>
      <c r="D174" s="2" t="s">
        <v>648</v>
      </c>
      <c r="E174" s="2">
        <v>179</v>
      </c>
    </row>
    <row r="175" spans="1:7" x14ac:dyDescent="0.25">
      <c r="A175" s="2" t="s">
        <v>1433</v>
      </c>
      <c r="B175" s="2" t="s">
        <v>1434</v>
      </c>
      <c r="C175" s="2" t="s">
        <v>694</v>
      </c>
      <c r="D175" s="2" t="s">
        <v>634</v>
      </c>
      <c r="E175" s="2">
        <v>212</v>
      </c>
    </row>
    <row r="176" spans="1:7" x14ac:dyDescent="0.25">
      <c r="A176" s="2" t="s">
        <v>1433</v>
      </c>
      <c r="B176" s="2" t="s">
        <v>1434</v>
      </c>
      <c r="C176" s="2" t="s">
        <v>694</v>
      </c>
      <c r="D176" s="2" t="s">
        <v>649</v>
      </c>
      <c r="E176" s="2">
        <v>212</v>
      </c>
    </row>
    <row r="177" spans="1:5" x14ac:dyDescent="0.25">
      <c r="A177" s="2" t="s">
        <v>1433</v>
      </c>
      <c r="B177" s="2" t="s">
        <v>1434</v>
      </c>
      <c r="C177" s="2" t="s">
        <v>694</v>
      </c>
      <c r="D177" s="2" t="s">
        <v>635</v>
      </c>
      <c r="E177" s="2">
        <v>233</v>
      </c>
    </row>
    <row r="178" spans="1:5" x14ac:dyDescent="0.25">
      <c r="A178" s="2" t="s">
        <v>1433</v>
      </c>
      <c r="B178" s="2" t="s">
        <v>1434</v>
      </c>
      <c r="C178" s="2" t="s">
        <v>694</v>
      </c>
      <c r="D178" s="2" t="s">
        <v>650</v>
      </c>
      <c r="E178" s="2">
        <v>233</v>
      </c>
    </row>
    <row r="179" spans="1:5" x14ac:dyDescent="0.25">
      <c r="A179" s="2" t="s">
        <v>1433</v>
      </c>
      <c r="B179" s="2" t="s">
        <v>1434</v>
      </c>
      <c r="C179" s="2" t="s">
        <v>694</v>
      </c>
      <c r="D179" s="2" t="s">
        <v>636</v>
      </c>
      <c r="E179" s="2">
        <v>240</v>
      </c>
    </row>
    <row r="180" spans="1:5" x14ac:dyDescent="0.25">
      <c r="A180" s="2" t="s">
        <v>1433</v>
      </c>
      <c r="B180" s="2" t="s">
        <v>1434</v>
      </c>
      <c r="C180" s="2" t="s">
        <v>694</v>
      </c>
      <c r="D180" s="2" t="s">
        <v>651</v>
      </c>
      <c r="E180" s="2">
        <v>240</v>
      </c>
    </row>
    <row r="181" spans="1:5" x14ac:dyDescent="0.25">
      <c r="A181" s="2" t="s">
        <v>1433</v>
      </c>
      <c r="B181" s="2" t="s">
        <v>1434</v>
      </c>
      <c r="C181" s="2" t="s">
        <v>695</v>
      </c>
      <c r="D181" s="2" t="s">
        <v>696</v>
      </c>
      <c r="E181" s="2">
        <v>260</v>
      </c>
    </row>
    <row r="182" spans="1:5" x14ac:dyDescent="0.25">
      <c r="A182" s="2" t="s">
        <v>1433</v>
      </c>
      <c r="B182" s="2" t="s">
        <v>1434</v>
      </c>
      <c r="C182" s="2" t="s">
        <v>695</v>
      </c>
      <c r="D182" s="2" t="s">
        <v>697</v>
      </c>
      <c r="E182" s="2">
        <v>276</v>
      </c>
    </row>
    <row r="183" spans="1:5" x14ac:dyDescent="0.25">
      <c r="A183" s="2" t="s">
        <v>1433</v>
      </c>
      <c r="B183" s="2" t="s">
        <v>1434</v>
      </c>
      <c r="C183" s="2" t="s">
        <v>695</v>
      </c>
      <c r="D183" s="2" t="s">
        <v>698</v>
      </c>
      <c r="E183" s="2">
        <v>276</v>
      </c>
    </row>
    <row r="184" spans="1:5" x14ac:dyDescent="0.25">
      <c r="A184" s="2" t="s">
        <v>1433</v>
      </c>
      <c r="B184" s="2" t="s">
        <v>1434</v>
      </c>
      <c r="C184" s="2" t="s">
        <v>695</v>
      </c>
      <c r="D184" s="2" t="s">
        <v>699</v>
      </c>
      <c r="E184" s="2">
        <v>276</v>
      </c>
    </row>
    <row r="185" spans="1:5" x14ac:dyDescent="0.25">
      <c r="A185" s="2" t="s">
        <v>1433</v>
      </c>
      <c r="B185" s="2" t="s">
        <v>1434</v>
      </c>
      <c r="C185" s="2" t="s">
        <v>695</v>
      </c>
      <c r="D185" s="2" t="s">
        <v>700</v>
      </c>
      <c r="E185" s="2">
        <v>276</v>
      </c>
    </row>
    <row r="186" spans="1:5" x14ac:dyDescent="0.25">
      <c r="A186" s="2" t="s">
        <v>1433</v>
      </c>
      <c r="B186" s="2" t="s">
        <v>1434</v>
      </c>
      <c r="C186" s="2" t="s">
        <v>695</v>
      </c>
      <c r="D186" s="2" t="s">
        <v>701</v>
      </c>
      <c r="E186" s="2">
        <v>276</v>
      </c>
    </row>
    <row r="187" spans="1:5" x14ac:dyDescent="0.25">
      <c r="A187" s="2" t="s">
        <v>1433</v>
      </c>
      <c r="B187" s="2" t="s">
        <v>1434</v>
      </c>
      <c r="C187" s="2" t="s">
        <v>695</v>
      </c>
      <c r="D187" s="2" t="s">
        <v>702</v>
      </c>
      <c r="E187" s="2">
        <v>276</v>
      </c>
    </row>
    <row r="188" spans="1:5" x14ac:dyDescent="0.25">
      <c r="A188" s="2" t="s">
        <v>1433</v>
      </c>
      <c r="B188" s="2" t="s">
        <v>1434</v>
      </c>
      <c r="C188" s="2" t="s">
        <v>695</v>
      </c>
      <c r="D188" s="2" t="s">
        <v>703</v>
      </c>
      <c r="E188" s="2">
        <v>276</v>
      </c>
    </row>
    <row r="189" spans="1:5" x14ac:dyDescent="0.25">
      <c r="A189" s="2" t="s">
        <v>1433</v>
      </c>
      <c r="B189" s="2" t="s">
        <v>1434</v>
      </c>
      <c r="C189" s="2" t="s">
        <v>695</v>
      </c>
      <c r="D189" s="2" t="s">
        <v>704</v>
      </c>
      <c r="E189" s="2">
        <v>276</v>
      </c>
    </row>
    <row r="190" spans="1:5" x14ac:dyDescent="0.25">
      <c r="A190" s="2" t="s">
        <v>1433</v>
      </c>
      <c r="B190" s="2" t="s">
        <v>1434</v>
      </c>
      <c r="C190" s="2" t="s">
        <v>695</v>
      </c>
      <c r="D190" s="2" t="s">
        <v>705</v>
      </c>
      <c r="E190" s="2">
        <v>276</v>
      </c>
    </row>
    <row r="191" spans="1:5" x14ac:dyDescent="0.25">
      <c r="A191" s="2" t="s">
        <v>1433</v>
      </c>
      <c r="B191" s="2" t="s">
        <v>1434</v>
      </c>
      <c r="C191" s="2" t="s">
        <v>767</v>
      </c>
      <c r="D191" s="2" t="s">
        <v>768</v>
      </c>
      <c r="E191" s="2">
        <v>85</v>
      </c>
    </row>
    <row r="192" spans="1:5" x14ac:dyDescent="0.25">
      <c r="A192" s="2" t="s">
        <v>1433</v>
      </c>
      <c r="B192" s="2" t="s">
        <v>1434</v>
      </c>
      <c r="C192" s="2" t="s">
        <v>767</v>
      </c>
      <c r="D192" s="2" t="s">
        <v>769</v>
      </c>
      <c r="E192" s="2">
        <v>85</v>
      </c>
    </row>
    <row r="193" spans="1:5" x14ac:dyDescent="0.25">
      <c r="A193" s="2" t="s">
        <v>1433</v>
      </c>
      <c r="B193" s="2" t="s">
        <v>1434</v>
      </c>
      <c r="C193" s="2" t="s">
        <v>767</v>
      </c>
      <c r="D193" s="2" t="s">
        <v>770</v>
      </c>
      <c r="E193" s="2">
        <v>85</v>
      </c>
    </row>
    <row r="194" spans="1:5" x14ac:dyDescent="0.25">
      <c r="A194" s="2" t="s">
        <v>1433</v>
      </c>
      <c r="B194" s="2" t="s">
        <v>1434</v>
      </c>
      <c r="C194" s="2" t="s">
        <v>767</v>
      </c>
      <c r="D194" s="2" t="s">
        <v>771</v>
      </c>
      <c r="E194" s="2">
        <v>85</v>
      </c>
    </row>
    <row r="195" spans="1:5" x14ac:dyDescent="0.25">
      <c r="A195" s="2" t="s">
        <v>1433</v>
      </c>
      <c r="B195" s="2" t="s">
        <v>1434</v>
      </c>
      <c r="C195" s="2" t="s">
        <v>767</v>
      </c>
      <c r="D195" s="2" t="s">
        <v>772</v>
      </c>
      <c r="E195" s="2">
        <v>85</v>
      </c>
    </row>
    <row r="196" spans="1:5" x14ac:dyDescent="0.25">
      <c r="A196" s="2" t="s">
        <v>1433</v>
      </c>
      <c r="B196" s="2" t="s">
        <v>1434</v>
      </c>
      <c r="C196" s="2" t="s">
        <v>767</v>
      </c>
      <c r="D196" s="2" t="s">
        <v>773</v>
      </c>
      <c r="E196" s="2">
        <v>85</v>
      </c>
    </row>
    <row r="197" spans="1:5" x14ac:dyDescent="0.25">
      <c r="A197" s="2" t="s">
        <v>1433</v>
      </c>
      <c r="B197" s="2" t="s">
        <v>1434</v>
      </c>
      <c r="C197" s="2" t="s">
        <v>767</v>
      </c>
      <c r="D197" s="2" t="s">
        <v>774</v>
      </c>
      <c r="E197" s="2">
        <v>85</v>
      </c>
    </row>
    <row r="198" spans="1:5" x14ac:dyDescent="0.25">
      <c r="A198" s="2" t="s">
        <v>1433</v>
      </c>
      <c r="B198" s="2" t="s">
        <v>1434</v>
      </c>
      <c r="C198" s="2" t="s">
        <v>767</v>
      </c>
      <c r="D198" s="2" t="s">
        <v>775</v>
      </c>
      <c r="E198" s="2">
        <v>85</v>
      </c>
    </row>
    <row r="199" spans="1:5" x14ac:dyDescent="0.25">
      <c r="A199" s="2" t="s">
        <v>1433</v>
      </c>
      <c r="B199" s="2" t="s">
        <v>1434</v>
      </c>
      <c r="C199" s="2" t="s">
        <v>767</v>
      </c>
      <c r="D199" s="2" t="s">
        <v>776</v>
      </c>
      <c r="E199" s="2">
        <v>85</v>
      </c>
    </row>
    <row r="200" spans="1:5" x14ac:dyDescent="0.25">
      <c r="A200" s="2" t="s">
        <v>1433</v>
      </c>
      <c r="B200" s="2" t="s">
        <v>1434</v>
      </c>
      <c r="C200" s="2" t="s">
        <v>767</v>
      </c>
      <c r="D200" s="2" t="s">
        <v>777</v>
      </c>
      <c r="E200" s="2">
        <v>85</v>
      </c>
    </row>
    <row r="201" spans="1:5" x14ac:dyDescent="0.25">
      <c r="A201" s="2" t="s">
        <v>1433</v>
      </c>
      <c r="B201" s="2" t="s">
        <v>1434</v>
      </c>
      <c r="C201" s="2" t="s">
        <v>767</v>
      </c>
      <c r="D201" s="2" t="s">
        <v>778</v>
      </c>
      <c r="E201" s="2">
        <v>85</v>
      </c>
    </row>
    <row r="202" spans="1:5" x14ac:dyDescent="0.25">
      <c r="A202" s="2" t="s">
        <v>1433</v>
      </c>
      <c r="B202" s="2" t="s">
        <v>1434</v>
      </c>
      <c r="C202" s="2" t="s">
        <v>767</v>
      </c>
      <c r="D202" s="2" t="s">
        <v>779</v>
      </c>
      <c r="E202" s="2">
        <v>85</v>
      </c>
    </row>
    <row r="203" spans="1:5" x14ac:dyDescent="0.25">
      <c r="A203" s="2" t="s">
        <v>1433</v>
      </c>
      <c r="B203" s="2" t="s">
        <v>1434</v>
      </c>
      <c r="C203" s="2" t="s">
        <v>767</v>
      </c>
      <c r="D203" s="2" t="s">
        <v>780</v>
      </c>
      <c r="E203" s="2">
        <v>85</v>
      </c>
    </row>
    <row r="204" spans="1:5" x14ac:dyDescent="0.25">
      <c r="A204" s="2" t="s">
        <v>1433</v>
      </c>
      <c r="B204" s="2" t="s">
        <v>1434</v>
      </c>
      <c r="C204" s="2" t="s">
        <v>767</v>
      </c>
      <c r="D204" s="2" t="s">
        <v>781</v>
      </c>
      <c r="E204" s="2">
        <v>85</v>
      </c>
    </row>
    <row r="205" spans="1:5" x14ac:dyDescent="0.25">
      <c r="A205" s="2" t="s">
        <v>1433</v>
      </c>
      <c r="B205" s="2" t="s">
        <v>1434</v>
      </c>
      <c r="C205" s="2" t="s">
        <v>767</v>
      </c>
      <c r="D205" s="2" t="s">
        <v>782</v>
      </c>
      <c r="E205" s="2">
        <v>85</v>
      </c>
    </row>
    <row r="206" spans="1:5" x14ac:dyDescent="0.25">
      <c r="A206" s="2" t="s">
        <v>1433</v>
      </c>
      <c r="B206" s="2" t="s">
        <v>1434</v>
      </c>
      <c r="C206" s="2" t="s">
        <v>767</v>
      </c>
      <c r="D206" s="2" t="s">
        <v>783</v>
      </c>
      <c r="E206" s="2">
        <v>85</v>
      </c>
    </row>
    <row r="207" spans="1:5" x14ac:dyDescent="0.25">
      <c r="A207" s="2" t="s">
        <v>1433</v>
      </c>
      <c r="B207" s="2" t="s">
        <v>1434</v>
      </c>
      <c r="C207" s="2" t="s">
        <v>767</v>
      </c>
      <c r="D207" s="2" t="s">
        <v>784</v>
      </c>
      <c r="E207" s="2">
        <v>85</v>
      </c>
    </row>
    <row r="208" spans="1:5" x14ac:dyDescent="0.25">
      <c r="A208" s="2" t="s">
        <v>1433</v>
      </c>
      <c r="B208" s="2" t="s">
        <v>1434</v>
      </c>
      <c r="C208" s="2" t="s">
        <v>767</v>
      </c>
      <c r="D208" s="2" t="s">
        <v>785</v>
      </c>
      <c r="E208" s="2">
        <v>85</v>
      </c>
    </row>
    <row r="209" spans="1:5" x14ac:dyDescent="0.25">
      <c r="A209" s="2" t="s">
        <v>1433</v>
      </c>
      <c r="B209" s="2" t="s">
        <v>1434</v>
      </c>
      <c r="C209" s="2" t="s">
        <v>767</v>
      </c>
      <c r="D209" s="2" t="s">
        <v>786</v>
      </c>
      <c r="E209" s="2">
        <v>85</v>
      </c>
    </row>
    <row r="210" spans="1:5" x14ac:dyDescent="0.25">
      <c r="A210" s="2" t="s">
        <v>1433</v>
      </c>
      <c r="B210" s="2" t="s">
        <v>1434</v>
      </c>
      <c r="C210" s="2" t="s">
        <v>767</v>
      </c>
      <c r="D210" s="2" t="s">
        <v>787</v>
      </c>
      <c r="E210" s="2">
        <v>85</v>
      </c>
    </row>
    <row r="211" spans="1:5" x14ac:dyDescent="0.25">
      <c r="A211" s="2" t="s">
        <v>1433</v>
      </c>
      <c r="B211" s="2" t="s">
        <v>1434</v>
      </c>
      <c r="C211" s="2" t="s">
        <v>767</v>
      </c>
      <c r="D211" s="2" t="s">
        <v>788</v>
      </c>
      <c r="E211" s="2">
        <v>85</v>
      </c>
    </row>
    <row r="212" spans="1:5" x14ac:dyDescent="0.25">
      <c r="A212" s="2" t="s">
        <v>1433</v>
      </c>
      <c r="B212" s="2" t="s">
        <v>1434</v>
      </c>
      <c r="C212" s="2" t="s">
        <v>767</v>
      </c>
      <c r="D212" s="2" t="s">
        <v>789</v>
      </c>
      <c r="E212" s="2">
        <v>85</v>
      </c>
    </row>
    <row r="213" spans="1:5" x14ac:dyDescent="0.25">
      <c r="A213" s="2" t="s">
        <v>1433</v>
      </c>
      <c r="B213" s="2" t="s">
        <v>1434</v>
      </c>
      <c r="C213" s="2" t="s">
        <v>767</v>
      </c>
      <c r="D213" s="2" t="s">
        <v>790</v>
      </c>
      <c r="E213" s="2">
        <v>85</v>
      </c>
    </row>
    <row r="214" spans="1:5" x14ac:dyDescent="0.25">
      <c r="A214" s="2" t="s">
        <v>1433</v>
      </c>
      <c r="B214" s="2" t="s">
        <v>1434</v>
      </c>
      <c r="C214" s="2" t="s">
        <v>767</v>
      </c>
      <c r="D214" s="2" t="s">
        <v>791</v>
      </c>
      <c r="E214" s="2">
        <v>85</v>
      </c>
    </row>
    <row r="215" spans="1:5" x14ac:dyDescent="0.25">
      <c r="A215" s="2" t="s">
        <v>1433</v>
      </c>
      <c r="B215" s="2" t="s">
        <v>1434</v>
      </c>
      <c r="C215" s="2" t="s">
        <v>767</v>
      </c>
      <c r="D215" s="2" t="s">
        <v>792</v>
      </c>
      <c r="E215" s="2">
        <v>85</v>
      </c>
    </row>
    <row r="216" spans="1:5" x14ac:dyDescent="0.25">
      <c r="A216" s="2" t="s">
        <v>1433</v>
      </c>
      <c r="B216" s="2" t="s">
        <v>1434</v>
      </c>
      <c r="C216" s="2" t="s">
        <v>767</v>
      </c>
      <c r="D216" s="2" t="s">
        <v>793</v>
      </c>
      <c r="E216" s="2">
        <v>85</v>
      </c>
    </row>
    <row r="217" spans="1:5" x14ac:dyDescent="0.25">
      <c r="A217" s="2" t="s">
        <v>1433</v>
      </c>
      <c r="B217" s="2" t="s">
        <v>1434</v>
      </c>
      <c r="C217" s="2" t="s">
        <v>767</v>
      </c>
      <c r="D217" s="2" t="s">
        <v>794</v>
      </c>
      <c r="E217" s="2">
        <v>85</v>
      </c>
    </row>
    <row r="218" spans="1:5" x14ac:dyDescent="0.25">
      <c r="A218" s="2" t="s">
        <v>1433</v>
      </c>
      <c r="B218" s="2" t="s">
        <v>1434</v>
      </c>
      <c r="C218" s="2" t="s">
        <v>767</v>
      </c>
      <c r="D218" s="2" t="s">
        <v>795</v>
      </c>
      <c r="E218" s="2">
        <v>85</v>
      </c>
    </row>
    <row r="219" spans="1:5" x14ac:dyDescent="0.25">
      <c r="A219" s="2" t="s">
        <v>1433</v>
      </c>
      <c r="B219" s="2" t="s">
        <v>1434</v>
      </c>
      <c r="C219" s="2" t="s">
        <v>767</v>
      </c>
      <c r="D219" s="2" t="s">
        <v>796</v>
      </c>
      <c r="E219" s="2">
        <v>85</v>
      </c>
    </row>
    <row r="220" spans="1:5" x14ac:dyDescent="0.25">
      <c r="A220" s="2" t="s">
        <v>1433</v>
      </c>
      <c r="B220" s="2" t="s">
        <v>1434</v>
      </c>
      <c r="C220" s="2" t="s">
        <v>767</v>
      </c>
      <c r="D220" s="2" t="s">
        <v>797</v>
      </c>
      <c r="E220" s="2">
        <v>85</v>
      </c>
    </row>
    <row r="221" spans="1:5" x14ac:dyDescent="0.25">
      <c r="A221" s="2" t="s">
        <v>1433</v>
      </c>
      <c r="B221" s="2" t="s">
        <v>1434</v>
      </c>
      <c r="C221" s="2" t="s">
        <v>767</v>
      </c>
      <c r="D221" s="2" t="s">
        <v>798</v>
      </c>
      <c r="E221" s="2">
        <v>85</v>
      </c>
    </row>
    <row r="222" spans="1:5" x14ac:dyDescent="0.25">
      <c r="A222" s="2" t="s">
        <v>1433</v>
      </c>
      <c r="B222" s="2" t="s">
        <v>1434</v>
      </c>
      <c r="C222" s="2" t="s">
        <v>767</v>
      </c>
      <c r="D222" s="2" t="s">
        <v>799</v>
      </c>
      <c r="E222" s="2">
        <v>85</v>
      </c>
    </row>
    <row r="223" spans="1:5" x14ac:dyDescent="0.25">
      <c r="A223" s="2" t="s">
        <v>1433</v>
      </c>
      <c r="B223" s="2" t="s">
        <v>1434</v>
      </c>
      <c r="C223" s="2" t="s">
        <v>767</v>
      </c>
      <c r="D223" s="2" t="s">
        <v>800</v>
      </c>
      <c r="E223" s="2">
        <v>85</v>
      </c>
    </row>
    <row r="224" spans="1:5" x14ac:dyDescent="0.25">
      <c r="A224" s="2" t="s">
        <v>1433</v>
      </c>
      <c r="B224" s="2" t="s">
        <v>1434</v>
      </c>
      <c r="C224" s="2" t="s">
        <v>767</v>
      </c>
      <c r="D224" s="2" t="s">
        <v>801</v>
      </c>
      <c r="E224" s="2">
        <v>85</v>
      </c>
    </row>
    <row r="225" spans="1:5" x14ac:dyDescent="0.25">
      <c r="A225" s="2" t="s">
        <v>1433</v>
      </c>
      <c r="B225" s="2" t="s">
        <v>1434</v>
      </c>
      <c r="C225" s="2" t="s">
        <v>767</v>
      </c>
      <c r="D225" s="2" t="s">
        <v>802</v>
      </c>
      <c r="E225" s="2">
        <v>85</v>
      </c>
    </row>
    <row r="226" spans="1:5" x14ac:dyDescent="0.25">
      <c r="A226" s="2" t="s">
        <v>1433</v>
      </c>
      <c r="B226" s="2" t="s">
        <v>1434</v>
      </c>
      <c r="C226" s="2" t="s">
        <v>767</v>
      </c>
      <c r="D226" s="2" t="s">
        <v>803</v>
      </c>
      <c r="E226" s="2">
        <v>85</v>
      </c>
    </row>
    <row r="227" spans="1:5" x14ac:dyDescent="0.25">
      <c r="A227" s="2" t="s">
        <v>1433</v>
      </c>
      <c r="B227" s="2" t="s">
        <v>1434</v>
      </c>
      <c r="C227" s="2" t="s">
        <v>767</v>
      </c>
      <c r="D227" s="2" t="s">
        <v>804</v>
      </c>
      <c r="E227" s="2">
        <v>85</v>
      </c>
    </row>
    <row r="228" spans="1:5" x14ac:dyDescent="0.25">
      <c r="A228" s="2" t="s">
        <v>1433</v>
      </c>
      <c r="B228" s="2" t="s">
        <v>1434</v>
      </c>
      <c r="C228" s="2" t="s">
        <v>767</v>
      </c>
      <c r="D228" s="2" t="s">
        <v>805</v>
      </c>
      <c r="E228" s="2">
        <v>85</v>
      </c>
    </row>
    <row r="229" spans="1:5" x14ac:dyDescent="0.25">
      <c r="A229" s="2" t="s">
        <v>1433</v>
      </c>
      <c r="B229" s="2" t="s">
        <v>1434</v>
      </c>
      <c r="C229" s="2" t="s">
        <v>767</v>
      </c>
      <c r="D229" s="2" t="s">
        <v>806</v>
      </c>
      <c r="E229" s="2">
        <v>85</v>
      </c>
    </row>
    <row r="230" spans="1:5" x14ac:dyDescent="0.25">
      <c r="A230" s="2" t="s">
        <v>1433</v>
      </c>
      <c r="B230" s="2" t="s">
        <v>1434</v>
      </c>
      <c r="C230" s="2" t="s">
        <v>767</v>
      </c>
      <c r="D230" s="2" t="s">
        <v>807</v>
      </c>
      <c r="E230" s="2">
        <v>85</v>
      </c>
    </row>
    <row r="231" spans="1:5" x14ac:dyDescent="0.25">
      <c r="A231" s="2" t="s">
        <v>1433</v>
      </c>
      <c r="B231" s="2" t="s">
        <v>1434</v>
      </c>
      <c r="C231" s="2" t="s">
        <v>767</v>
      </c>
      <c r="D231" s="2" t="s">
        <v>808</v>
      </c>
      <c r="E231" s="2">
        <v>85</v>
      </c>
    </row>
    <row r="232" spans="1:5" x14ac:dyDescent="0.25">
      <c r="A232" s="2" t="s">
        <v>1433</v>
      </c>
      <c r="B232" s="2" t="s">
        <v>1434</v>
      </c>
      <c r="C232" s="2" t="s">
        <v>767</v>
      </c>
      <c r="D232" s="2" t="s">
        <v>809</v>
      </c>
      <c r="E232" s="2">
        <v>85</v>
      </c>
    </row>
    <row r="233" spans="1:5" x14ac:dyDescent="0.25">
      <c r="A233" s="2" t="s">
        <v>1433</v>
      </c>
      <c r="B233" s="2" t="s">
        <v>1434</v>
      </c>
      <c r="C233" s="2" t="s">
        <v>767</v>
      </c>
      <c r="D233" s="2" t="s">
        <v>810</v>
      </c>
      <c r="E233" s="2">
        <v>85</v>
      </c>
    </row>
    <row r="234" spans="1:5" x14ac:dyDescent="0.25">
      <c r="A234" s="2" t="s">
        <v>1433</v>
      </c>
      <c r="B234" s="2" t="s">
        <v>1434</v>
      </c>
      <c r="C234" s="2" t="s">
        <v>767</v>
      </c>
      <c r="D234" s="2" t="s">
        <v>811</v>
      </c>
      <c r="E234" s="2">
        <v>85</v>
      </c>
    </row>
    <row r="235" spans="1:5" x14ac:dyDescent="0.25">
      <c r="A235" s="2" t="s">
        <v>1433</v>
      </c>
      <c r="B235" s="2" t="s">
        <v>1434</v>
      </c>
      <c r="C235" s="2" t="s">
        <v>767</v>
      </c>
      <c r="D235" s="2" t="s">
        <v>812</v>
      </c>
      <c r="E235" s="2">
        <v>85</v>
      </c>
    </row>
    <row r="236" spans="1:5" x14ac:dyDescent="0.25">
      <c r="A236" s="2" t="s">
        <v>1433</v>
      </c>
      <c r="B236" s="2" t="s">
        <v>1434</v>
      </c>
      <c r="C236" s="2" t="s">
        <v>767</v>
      </c>
      <c r="D236" s="2" t="s">
        <v>813</v>
      </c>
      <c r="E236" s="2">
        <v>85</v>
      </c>
    </row>
    <row r="237" spans="1:5" x14ac:dyDescent="0.25">
      <c r="A237" s="2" t="s">
        <v>1433</v>
      </c>
      <c r="B237" s="2" t="s">
        <v>1434</v>
      </c>
      <c r="C237" s="2" t="s">
        <v>767</v>
      </c>
      <c r="D237" s="2" t="s">
        <v>814</v>
      </c>
      <c r="E237" s="2">
        <v>85</v>
      </c>
    </row>
    <row r="238" spans="1:5" x14ac:dyDescent="0.25">
      <c r="A238" s="2" t="s">
        <v>1433</v>
      </c>
      <c r="B238" s="2" t="s">
        <v>1434</v>
      </c>
      <c r="C238" s="2" t="s">
        <v>767</v>
      </c>
      <c r="D238" s="2" t="s">
        <v>815</v>
      </c>
      <c r="E238" s="2">
        <v>85</v>
      </c>
    </row>
    <row r="239" spans="1:5" x14ac:dyDescent="0.25">
      <c r="A239" s="2" t="s">
        <v>1433</v>
      </c>
      <c r="B239" s="2" t="s">
        <v>1434</v>
      </c>
      <c r="C239" s="2" t="s">
        <v>767</v>
      </c>
      <c r="D239" s="2" t="s">
        <v>816</v>
      </c>
      <c r="E239" s="2">
        <v>85</v>
      </c>
    </row>
    <row r="240" spans="1:5" x14ac:dyDescent="0.25">
      <c r="A240" s="2" t="s">
        <v>1433</v>
      </c>
      <c r="B240" s="2" t="s">
        <v>1434</v>
      </c>
      <c r="C240" s="2" t="s">
        <v>767</v>
      </c>
      <c r="D240" s="2" t="s">
        <v>817</v>
      </c>
      <c r="E240" s="2">
        <v>85</v>
      </c>
    </row>
    <row r="241" spans="1:5" x14ac:dyDescent="0.25">
      <c r="A241" s="2" t="s">
        <v>1433</v>
      </c>
      <c r="B241" s="2" t="s">
        <v>1434</v>
      </c>
      <c r="C241" s="2" t="s">
        <v>767</v>
      </c>
      <c r="D241" s="2" t="s">
        <v>818</v>
      </c>
      <c r="E241" s="2">
        <v>85</v>
      </c>
    </row>
    <row r="242" spans="1:5" x14ac:dyDescent="0.25">
      <c r="A242" s="2" t="s">
        <v>1433</v>
      </c>
      <c r="B242" s="2" t="s">
        <v>1434</v>
      </c>
      <c r="C242" s="2" t="s">
        <v>767</v>
      </c>
      <c r="D242" s="2" t="s">
        <v>819</v>
      </c>
      <c r="E242" s="2">
        <v>85</v>
      </c>
    </row>
    <row r="243" spans="1:5" x14ac:dyDescent="0.25">
      <c r="A243" s="2" t="s">
        <v>1433</v>
      </c>
      <c r="B243" s="2" t="s">
        <v>1434</v>
      </c>
      <c r="C243" s="2" t="s">
        <v>767</v>
      </c>
      <c r="D243" s="2" t="s">
        <v>820</v>
      </c>
      <c r="E243" s="2">
        <v>85</v>
      </c>
    </row>
    <row r="244" spans="1:5" x14ac:dyDescent="0.25">
      <c r="A244" s="2" t="s">
        <v>1433</v>
      </c>
      <c r="B244" s="2" t="s">
        <v>1434</v>
      </c>
      <c r="C244" s="2" t="s">
        <v>767</v>
      </c>
      <c r="D244" s="2" t="s">
        <v>821</v>
      </c>
      <c r="E244" s="2">
        <v>85</v>
      </c>
    </row>
    <row r="245" spans="1:5" x14ac:dyDescent="0.25">
      <c r="A245" s="2" t="s">
        <v>1433</v>
      </c>
      <c r="B245" s="2" t="s">
        <v>1434</v>
      </c>
      <c r="C245" s="2" t="s">
        <v>767</v>
      </c>
      <c r="D245" s="2" t="s">
        <v>822</v>
      </c>
      <c r="E245" s="2">
        <v>85</v>
      </c>
    </row>
    <row r="246" spans="1:5" x14ac:dyDescent="0.25">
      <c r="A246" s="2" t="s">
        <v>1433</v>
      </c>
      <c r="B246" s="2" t="s">
        <v>1434</v>
      </c>
      <c r="C246" s="2" t="s">
        <v>767</v>
      </c>
      <c r="D246" s="2" t="s">
        <v>823</v>
      </c>
      <c r="E246" s="2">
        <v>85</v>
      </c>
    </row>
    <row r="247" spans="1:5" x14ac:dyDescent="0.25">
      <c r="A247" s="2" t="s">
        <v>1433</v>
      </c>
      <c r="B247" s="2" t="s">
        <v>1434</v>
      </c>
      <c r="C247" s="2" t="s">
        <v>767</v>
      </c>
      <c r="D247" s="2" t="s">
        <v>824</v>
      </c>
      <c r="E247" s="2">
        <v>85</v>
      </c>
    </row>
    <row r="248" spans="1:5" x14ac:dyDescent="0.25">
      <c r="A248" s="2" t="s">
        <v>1433</v>
      </c>
      <c r="B248" s="2" t="s">
        <v>1434</v>
      </c>
      <c r="C248" s="2" t="s">
        <v>882</v>
      </c>
      <c r="D248" s="2" t="s">
        <v>883</v>
      </c>
      <c r="E248" s="2">
        <v>85</v>
      </c>
    </row>
    <row r="249" spans="1:5" x14ac:dyDescent="0.25">
      <c r="A249" s="2" t="s">
        <v>1433</v>
      </c>
      <c r="B249" s="2" t="s">
        <v>1434</v>
      </c>
      <c r="C249" s="2" t="s">
        <v>882</v>
      </c>
      <c r="D249" s="2" t="s">
        <v>884</v>
      </c>
      <c r="E249" s="2">
        <v>85</v>
      </c>
    </row>
    <row r="250" spans="1:5" x14ac:dyDescent="0.25">
      <c r="A250" s="2" t="s">
        <v>1433</v>
      </c>
      <c r="B250" s="2" t="s">
        <v>1434</v>
      </c>
      <c r="C250" s="2" t="s">
        <v>882</v>
      </c>
      <c r="D250" s="2" t="s">
        <v>885</v>
      </c>
      <c r="E250" s="2">
        <v>85</v>
      </c>
    </row>
    <row r="251" spans="1:5" x14ac:dyDescent="0.25">
      <c r="A251" s="2" t="s">
        <v>1433</v>
      </c>
      <c r="B251" s="2" t="s">
        <v>1434</v>
      </c>
      <c r="C251" s="2" t="s">
        <v>882</v>
      </c>
      <c r="D251" s="2" t="s">
        <v>886</v>
      </c>
      <c r="E251" s="2">
        <v>85</v>
      </c>
    </row>
    <row r="252" spans="1:5" x14ac:dyDescent="0.25">
      <c r="A252" s="2" t="s">
        <v>1433</v>
      </c>
      <c r="B252" s="2" t="s">
        <v>1434</v>
      </c>
      <c r="C252" s="2" t="s">
        <v>882</v>
      </c>
      <c r="D252" s="2" t="s">
        <v>887</v>
      </c>
      <c r="E252" s="2">
        <v>85</v>
      </c>
    </row>
    <row r="253" spans="1:5" x14ac:dyDescent="0.25">
      <c r="A253" s="2" t="s">
        <v>1433</v>
      </c>
      <c r="B253" s="2" t="s">
        <v>1434</v>
      </c>
      <c r="C253" s="2" t="s">
        <v>882</v>
      </c>
      <c r="D253" s="2" t="s">
        <v>888</v>
      </c>
      <c r="E253" s="2">
        <v>85</v>
      </c>
    </row>
    <row r="254" spans="1:5" x14ac:dyDescent="0.25">
      <c r="A254" s="2" t="s">
        <v>1433</v>
      </c>
      <c r="B254" s="2" t="s">
        <v>1434</v>
      </c>
      <c r="C254" s="2" t="s">
        <v>882</v>
      </c>
      <c r="D254" s="2" t="s">
        <v>889</v>
      </c>
      <c r="E254" s="2">
        <v>85</v>
      </c>
    </row>
    <row r="255" spans="1:5" x14ac:dyDescent="0.25">
      <c r="A255" s="2" t="s">
        <v>1433</v>
      </c>
      <c r="B255" s="2" t="s">
        <v>1434</v>
      </c>
      <c r="C255" s="2" t="s">
        <v>882</v>
      </c>
      <c r="D255" s="2" t="s">
        <v>891</v>
      </c>
      <c r="E255" s="2">
        <v>85</v>
      </c>
    </row>
    <row r="256" spans="1:5" x14ac:dyDescent="0.25">
      <c r="A256" s="2" t="s">
        <v>1433</v>
      </c>
      <c r="B256" s="2" t="s">
        <v>1434</v>
      </c>
      <c r="C256" s="2" t="s">
        <v>882</v>
      </c>
      <c r="D256" s="2" t="s">
        <v>892</v>
      </c>
      <c r="E256" s="2">
        <v>85</v>
      </c>
    </row>
    <row r="257" spans="1:5" x14ac:dyDescent="0.25">
      <c r="A257" s="2" t="s">
        <v>1433</v>
      </c>
      <c r="B257" s="2" t="s">
        <v>1434</v>
      </c>
      <c r="C257" s="2" t="s">
        <v>882</v>
      </c>
      <c r="D257" s="2" t="s">
        <v>893</v>
      </c>
      <c r="E257" s="2">
        <v>85</v>
      </c>
    </row>
    <row r="258" spans="1:5" x14ac:dyDescent="0.25">
      <c r="A258" s="2" t="s">
        <v>1433</v>
      </c>
      <c r="B258" s="2" t="s">
        <v>1434</v>
      </c>
      <c r="C258" s="2" t="s">
        <v>882</v>
      </c>
      <c r="D258" s="2" t="s">
        <v>894</v>
      </c>
      <c r="E258" s="2">
        <v>85</v>
      </c>
    </row>
    <row r="259" spans="1:5" x14ac:dyDescent="0.25">
      <c r="A259" s="2" t="s">
        <v>1433</v>
      </c>
      <c r="B259" s="2" t="s">
        <v>1434</v>
      </c>
      <c r="C259" s="2" t="s">
        <v>882</v>
      </c>
      <c r="D259" s="2" t="s">
        <v>895</v>
      </c>
      <c r="E259" s="2">
        <v>85</v>
      </c>
    </row>
    <row r="260" spans="1:5" x14ac:dyDescent="0.25">
      <c r="A260" s="2" t="s">
        <v>1433</v>
      </c>
      <c r="B260" s="2" t="s">
        <v>1434</v>
      </c>
      <c r="C260" s="2" t="s">
        <v>882</v>
      </c>
      <c r="D260" s="2" t="s">
        <v>896</v>
      </c>
      <c r="E260" s="2">
        <v>85</v>
      </c>
    </row>
    <row r="261" spans="1:5" x14ac:dyDescent="0.25">
      <c r="A261" s="2" t="s">
        <v>1433</v>
      </c>
      <c r="B261" s="2" t="s">
        <v>1434</v>
      </c>
      <c r="C261" s="2" t="s">
        <v>882</v>
      </c>
      <c r="D261" s="2" t="s">
        <v>897</v>
      </c>
      <c r="E261" s="2">
        <v>85</v>
      </c>
    </row>
    <row r="262" spans="1:5" x14ac:dyDescent="0.25">
      <c r="A262" s="2" t="s">
        <v>1433</v>
      </c>
      <c r="B262" s="2" t="s">
        <v>1434</v>
      </c>
      <c r="C262" s="2" t="s">
        <v>882</v>
      </c>
      <c r="D262" s="2" t="s">
        <v>898</v>
      </c>
      <c r="E262" s="2">
        <v>85</v>
      </c>
    </row>
    <row r="263" spans="1:5" x14ac:dyDescent="0.25">
      <c r="A263" s="2" t="s">
        <v>1433</v>
      </c>
      <c r="B263" s="2" t="s">
        <v>1434</v>
      </c>
      <c r="C263" s="2" t="s">
        <v>882</v>
      </c>
      <c r="D263" s="2" t="s">
        <v>899</v>
      </c>
      <c r="E263" s="2">
        <v>85</v>
      </c>
    </row>
    <row r="264" spans="1:5" x14ac:dyDescent="0.25">
      <c r="A264" s="2" t="s">
        <v>1433</v>
      </c>
      <c r="B264" s="2" t="s">
        <v>1434</v>
      </c>
      <c r="C264" s="2" t="s">
        <v>882</v>
      </c>
      <c r="D264" s="2" t="s">
        <v>900</v>
      </c>
      <c r="E264" s="2">
        <v>85</v>
      </c>
    </row>
    <row r="265" spans="1:5" x14ac:dyDescent="0.25">
      <c r="A265" s="2" t="s">
        <v>1433</v>
      </c>
      <c r="B265" s="2" t="s">
        <v>1434</v>
      </c>
      <c r="C265" s="2" t="s">
        <v>882</v>
      </c>
      <c r="D265" s="2" t="s">
        <v>901</v>
      </c>
      <c r="E265" s="2">
        <v>85</v>
      </c>
    </row>
    <row r="266" spans="1:5" x14ac:dyDescent="0.25">
      <c r="A266" s="2" t="s">
        <v>1433</v>
      </c>
      <c r="B266" s="2" t="s">
        <v>1434</v>
      </c>
      <c r="C266" s="2" t="s">
        <v>882</v>
      </c>
      <c r="D266" s="2" t="s">
        <v>902</v>
      </c>
      <c r="E266" s="2">
        <v>85</v>
      </c>
    </row>
    <row r="267" spans="1:5" x14ac:dyDescent="0.25">
      <c r="A267" s="2" t="s">
        <v>1433</v>
      </c>
      <c r="B267" s="2" t="s">
        <v>1434</v>
      </c>
      <c r="C267" s="2" t="s">
        <v>882</v>
      </c>
      <c r="D267" s="2" t="s">
        <v>903</v>
      </c>
      <c r="E267" s="2">
        <v>85</v>
      </c>
    </row>
    <row r="268" spans="1:5" x14ac:dyDescent="0.25">
      <c r="A268" s="2" t="s">
        <v>1433</v>
      </c>
      <c r="B268" s="2" t="s">
        <v>1434</v>
      </c>
      <c r="C268" s="2" t="s">
        <v>882</v>
      </c>
      <c r="D268" s="2" t="s">
        <v>904</v>
      </c>
      <c r="E268" s="2">
        <v>85</v>
      </c>
    </row>
    <row r="269" spans="1:5" x14ac:dyDescent="0.25">
      <c r="A269" s="2" t="s">
        <v>1435</v>
      </c>
      <c r="B269" s="2" t="s">
        <v>1436</v>
      </c>
      <c r="C269" s="2" t="s">
        <v>603</v>
      </c>
      <c r="D269" s="2" t="s">
        <v>604</v>
      </c>
      <c r="E269" s="2">
        <v>90</v>
      </c>
    </row>
    <row r="270" spans="1:5" x14ac:dyDescent="0.25">
      <c r="A270" s="2" t="s">
        <v>1435</v>
      </c>
      <c r="B270" s="2" t="s">
        <v>1436</v>
      </c>
      <c r="C270" s="2" t="s">
        <v>603</v>
      </c>
      <c r="D270" s="2" t="s">
        <v>605</v>
      </c>
      <c r="E270" s="2">
        <v>100</v>
      </c>
    </row>
    <row r="271" spans="1:5" x14ac:dyDescent="0.25">
      <c r="A271" s="2" t="s">
        <v>1435</v>
      </c>
      <c r="B271" s="2" t="s">
        <v>1436</v>
      </c>
      <c r="C271" s="2" t="s">
        <v>603</v>
      </c>
      <c r="D271" s="2" t="s">
        <v>606</v>
      </c>
      <c r="E271" s="2">
        <v>190</v>
      </c>
    </row>
    <row r="272" spans="1:5" x14ac:dyDescent="0.25">
      <c r="A272" s="2" t="s">
        <v>1435</v>
      </c>
      <c r="B272" s="2" t="s">
        <v>1436</v>
      </c>
      <c r="C272" s="2" t="s">
        <v>603</v>
      </c>
      <c r="D272" s="2" t="s">
        <v>607</v>
      </c>
      <c r="E272" s="2">
        <v>220</v>
      </c>
    </row>
    <row r="273" spans="1:5" x14ac:dyDescent="0.25">
      <c r="A273" s="2" t="s">
        <v>1435</v>
      </c>
      <c r="B273" s="2" t="s">
        <v>1436</v>
      </c>
      <c r="C273" s="2" t="s">
        <v>603</v>
      </c>
      <c r="D273" s="2" t="s">
        <v>608</v>
      </c>
      <c r="E273" s="2">
        <v>275</v>
      </c>
    </row>
    <row r="274" spans="1:5" x14ac:dyDescent="0.25">
      <c r="A274" s="2" t="s">
        <v>1435</v>
      </c>
      <c r="B274" s="2" t="s">
        <v>1436</v>
      </c>
      <c r="C274" s="2" t="s">
        <v>603</v>
      </c>
      <c r="D274" s="2" t="s">
        <v>609</v>
      </c>
      <c r="E274" s="2">
        <v>240</v>
      </c>
    </row>
    <row r="275" spans="1:5" x14ac:dyDescent="0.25">
      <c r="A275" s="2" t="s">
        <v>1435</v>
      </c>
      <c r="B275" s="2" t="s">
        <v>1436</v>
      </c>
      <c r="C275" s="2" t="s">
        <v>603</v>
      </c>
      <c r="D275" s="2" t="s">
        <v>610</v>
      </c>
      <c r="E275" s="2">
        <v>320</v>
      </c>
    </row>
    <row r="276" spans="1:5" x14ac:dyDescent="0.25">
      <c r="A276" s="2" t="s">
        <v>1435</v>
      </c>
      <c r="B276" s="2" t="s">
        <v>1436</v>
      </c>
      <c r="C276" s="2" t="s">
        <v>603</v>
      </c>
      <c r="D276" s="2" t="s">
        <v>611</v>
      </c>
      <c r="E276" s="2">
        <v>345</v>
      </c>
    </row>
    <row r="277" spans="1:5" x14ac:dyDescent="0.25">
      <c r="A277" s="2" t="s">
        <v>1435</v>
      </c>
      <c r="B277" s="2" t="s">
        <v>1436</v>
      </c>
      <c r="C277" s="2" t="s">
        <v>603</v>
      </c>
      <c r="D277" s="2" t="s">
        <v>612</v>
      </c>
      <c r="E277" s="2">
        <v>425</v>
      </c>
    </row>
    <row r="278" spans="1:5" x14ac:dyDescent="0.25">
      <c r="A278" s="2" t="s">
        <v>1738</v>
      </c>
      <c r="B278" s="2" t="s">
        <v>1437</v>
      </c>
      <c r="C278" s="2" t="s">
        <v>691</v>
      </c>
      <c r="D278" s="2" t="s">
        <v>647</v>
      </c>
      <c r="E278" s="2">
        <v>56.95</v>
      </c>
    </row>
    <row r="279" spans="1:5" x14ac:dyDescent="0.25">
      <c r="A279" s="2" t="s">
        <v>1738</v>
      </c>
      <c r="B279" s="2" t="s">
        <v>1437</v>
      </c>
      <c r="C279" s="2" t="s">
        <v>691</v>
      </c>
      <c r="D279" s="2" t="s">
        <v>648</v>
      </c>
      <c r="E279" s="2">
        <v>83.19</v>
      </c>
    </row>
    <row r="280" spans="1:5" x14ac:dyDescent="0.25">
      <c r="A280" s="2" t="s">
        <v>1738</v>
      </c>
      <c r="B280" s="2" t="s">
        <v>1437</v>
      </c>
      <c r="C280" s="2" t="s">
        <v>691</v>
      </c>
      <c r="D280" s="2" t="s">
        <v>634</v>
      </c>
      <c r="E280" s="2">
        <v>116.24</v>
      </c>
    </row>
    <row r="281" spans="1:5" x14ac:dyDescent="0.25">
      <c r="A281" s="2" t="s">
        <v>1738</v>
      </c>
      <c r="B281" s="2" t="s">
        <v>1437</v>
      </c>
      <c r="C281" s="2" t="s">
        <v>691</v>
      </c>
      <c r="D281" s="2" t="s">
        <v>649</v>
      </c>
      <c r="E281" s="2">
        <v>116.24</v>
      </c>
    </row>
    <row r="282" spans="1:5" x14ac:dyDescent="0.25">
      <c r="A282" s="2" t="s">
        <v>1738</v>
      </c>
      <c r="B282" s="2" t="s">
        <v>1437</v>
      </c>
      <c r="C282" s="2" t="s">
        <v>691</v>
      </c>
      <c r="D282" s="2" t="s">
        <v>635</v>
      </c>
      <c r="E282" s="2">
        <v>173.93</v>
      </c>
    </row>
    <row r="283" spans="1:5" x14ac:dyDescent="0.25">
      <c r="A283" s="2" t="s">
        <v>1738</v>
      </c>
      <c r="B283" s="2" t="s">
        <v>1437</v>
      </c>
      <c r="C283" s="2" t="s">
        <v>691</v>
      </c>
      <c r="D283" s="2" t="s">
        <v>650</v>
      </c>
      <c r="E283" s="2">
        <v>173.93</v>
      </c>
    </row>
    <row r="284" spans="1:5" x14ac:dyDescent="0.25">
      <c r="A284" s="2" t="s">
        <v>1738</v>
      </c>
      <c r="B284" s="2" t="s">
        <v>1437</v>
      </c>
      <c r="C284" s="2" t="s">
        <v>691</v>
      </c>
      <c r="D284" s="2" t="s">
        <v>636</v>
      </c>
      <c r="E284" s="2">
        <v>260.20999999999998</v>
      </c>
    </row>
    <row r="285" spans="1:5" x14ac:dyDescent="0.25">
      <c r="A285" s="2" t="s">
        <v>1738</v>
      </c>
      <c r="B285" s="2" t="s">
        <v>1437</v>
      </c>
      <c r="C285" s="2" t="s">
        <v>691</v>
      </c>
      <c r="D285" s="2" t="s">
        <v>651</v>
      </c>
      <c r="E285" s="2">
        <v>260.20999999999998</v>
      </c>
    </row>
    <row r="286" spans="1:5" x14ac:dyDescent="0.25">
      <c r="A286" s="2" t="s">
        <v>1738</v>
      </c>
      <c r="B286" s="2" t="s">
        <v>1437</v>
      </c>
      <c r="C286" s="2" t="s">
        <v>694</v>
      </c>
      <c r="D286" s="2" t="s">
        <v>647</v>
      </c>
      <c r="E286" s="2">
        <v>56.95</v>
      </c>
    </row>
    <row r="287" spans="1:5" x14ac:dyDescent="0.25">
      <c r="A287" s="2" t="s">
        <v>1738</v>
      </c>
      <c r="B287" s="2" t="s">
        <v>1437</v>
      </c>
      <c r="C287" s="2" t="s">
        <v>694</v>
      </c>
      <c r="D287" s="2" t="s">
        <v>648</v>
      </c>
      <c r="E287" s="2">
        <v>83.19</v>
      </c>
    </row>
    <row r="288" spans="1:5" x14ac:dyDescent="0.25">
      <c r="A288" s="2" t="s">
        <v>1738</v>
      </c>
      <c r="B288" s="2" t="s">
        <v>1437</v>
      </c>
      <c r="C288" s="2" t="s">
        <v>694</v>
      </c>
      <c r="D288" s="2" t="s">
        <v>634</v>
      </c>
      <c r="E288" s="2">
        <v>116.24</v>
      </c>
    </row>
    <row r="289" spans="1:5" x14ac:dyDescent="0.25">
      <c r="A289" s="2" t="s">
        <v>1738</v>
      </c>
      <c r="B289" s="2" t="s">
        <v>1437</v>
      </c>
      <c r="C289" s="2" t="s">
        <v>694</v>
      </c>
      <c r="D289" s="2" t="s">
        <v>649</v>
      </c>
      <c r="E289" s="2">
        <v>116.24</v>
      </c>
    </row>
    <row r="290" spans="1:5" x14ac:dyDescent="0.25">
      <c r="A290" s="2" t="s">
        <v>1738</v>
      </c>
      <c r="B290" s="2" t="s">
        <v>1437</v>
      </c>
      <c r="C290" s="2" t="s">
        <v>694</v>
      </c>
      <c r="D290" s="2" t="s">
        <v>635</v>
      </c>
      <c r="E290" s="2">
        <v>173.93</v>
      </c>
    </row>
    <row r="291" spans="1:5" x14ac:dyDescent="0.25">
      <c r="A291" s="2" t="s">
        <v>1738</v>
      </c>
      <c r="B291" s="2" t="s">
        <v>1437</v>
      </c>
      <c r="C291" s="2" t="s">
        <v>694</v>
      </c>
      <c r="D291" s="2" t="s">
        <v>650</v>
      </c>
      <c r="E291" s="2">
        <v>173.93</v>
      </c>
    </row>
    <row r="292" spans="1:5" x14ac:dyDescent="0.25">
      <c r="A292" s="2" t="s">
        <v>1738</v>
      </c>
      <c r="B292" s="2" t="s">
        <v>1437</v>
      </c>
      <c r="C292" s="2" t="s">
        <v>694</v>
      </c>
      <c r="D292" s="2" t="s">
        <v>636</v>
      </c>
      <c r="E292" s="2">
        <v>260.20999999999998</v>
      </c>
    </row>
    <row r="293" spans="1:5" x14ac:dyDescent="0.25">
      <c r="A293" s="2" t="s">
        <v>1738</v>
      </c>
      <c r="B293" s="2" t="s">
        <v>1437</v>
      </c>
      <c r="C293" s="2" t="s">
        <v>694</v>
      </c>
      <c r="D293" s="2" t="s">
        <v>651</v>
      </c>
      <c r="E293" s="2">
        <v>260.20999999999998</v>
      </c>
    </row>
    <row r="294" spans="1:5" x14ac:dyDescent="0.25">
      <c r="A294" s="2" t="s">
        <v>1738</v>
      </c>
      <c r="B294" s="2" t="s">
        <v>1437</v>
      </c>
      <c r="C294" s="2" t="s">
        <v>695</v>
      </c>
      <c r="D294" s="2" t="s">
        <v>696</v>
      </c>
      <c r="E294" s="2">
        <v>358.38</v>
      </c>
    </row>
    <row r="295" spans="1:5" x14ac:dyDescent="0.25">
      <c r="A295" s="2" t="s">
        <v>1738</v>
      </c>
      <c r="B295" s="2" t="s">
        <v>1437</v>
      </c>
      <c r="C295" s="2" t="s">
        <v>695</v>
      </c>
      <c r="D295" s="2" t="s">
        <v>697</v>
      </c>
      <c r="E295" s="2">
        <v>358.38</v>
      </c>
    </row>
    <row r="296" spans="1:5" x14ac:dyDescent="0.25">
      <c r="A296" s="2" t="s">
        <v>1738</v>
      </c>
      <c r="B296" s="2" t="s">
        <v>1437</v>
      </c>
      <c r="C296" s="2" t="s">
        <v>695</v>
      </c>
      <c r="D296" s="2" t="s">
        <v>698</v>
      </c>
      <c r="E296" s="2">
        <v>358.38</v>
      </c>
    </row>
    <row r="297" spans="1:5" x14ac:dyDescent="0.25">
      <c r="A297" s="2" t="s">
        <v>1738</v>
      </c>
      <c r="B297" s="2" t="s">
        <v>1437</v>
      </c>
      <c r="C297" s="2" t="s">
        <v>695</v>
      </c>
      <c r="D297" s="2" t="s">
        <v>699</v>
      </c>
      <c r="E297" s="2">
        <v>358.38</v>
      </c>
    </row>
    <row r="298" spans="1:5" x14ac:dyDescent="0.25">
      <c r="A298" s="2" t="s">
        <v>1738</v>
      </c>
      <c r="B298" s="2" t="s">
        <v>1437</v>
      </c>
      <c r="C298" s="2" t="s">
        <v>695</v>
      </c>
      <c r="D298" s="2" t="s">
        <v>700</v>
      </c>
      <c r="E298" s="2">
        <v>358.38</v>
      </c>
    </row>
    <row r="299" spans="1:5" x14ac:dyDescent="0.25">
      <c r="A299" s="2" t="s">
        <v>1738</v>
      </c>
      <c r="B299" s="2" t="s">
        <v>1437</v>
      </c>
      <c r="C299" s="2" t="s">
        <v>695</v>
      </c>
      <c r="D299" s="2" t="s">
        <v>701</v>
      </c>
      <c r="E299" s="2">
        <v>358.38</v>
      </c>
    </row>
    <row r="300" spans="1:5" x14ac:dyDescent="0.25">
      <c r="A300" s="2" t="s">
        <v>1738</v>
      </c>
      <c r="B300" s="2" t="s">
        <v>1437</v>
      </c>
      <c r="C300" s="2" t="s">
        <v>695</v>
      </c>
      <c r="D300" s="2" t="s">
        <v>702</v>
      </c>
      <c r="E300" s="2">
        <v>358.38</v>
      </c>
    </row>
    <row r="301" spans="1:5" x14ac:dyDescent="0.25">
      <c r="A301" s="2" t="s">
        <v>1738</v>
      </c>
      <c r="B301" s="2" t="s">
        <v>1437</v>
      </c>
      <c r="C301" s="2" t="s">
        <v>695</v>
      </c>
      <c r="D301" s="2" t="s">
        <v>703</v>
      </c>
      <c r="E301" s="2">
        <v>358.38</v>
      </c>
    </row>
    <row r="302" spans="1:5" x14ac:dyDescent="0.25">
      <c r="A302" s="2" t="s">
        <v>1738</v>
      </c>
      <c r="B302" s="2" t="s">
        <v>1437</v>
      </c>
      <c r="C302" s="2" t="s">
        <v>695</v>
      </c>
      <c r="D302" s="2" t="s">
        <v>704</v>
      </c>
      <c r="E302" s="2">
        <v>358.38</v>
      </c>
    </row>
    <row r="303" spans="1:5" x14ac:dyDescent="0.25">
      <c r="A303" s="2" t="s">
        <v>1738</v>
      </c>
      <c r="B303" s="2" t="s">
        <v>1437</v>
      </c>
      <c r="C303" s="2" t="s">
        <v>695</v>
      </c>
      <c r="D303" s="2" t="s">
        <v>705</v>
      </c>
      <c r="E303" s="2">
        <v>358.38</v>
      </c>
    </row>
    <row r="304" spans="1:5" x14ac:dyDescent="0.25">
      <c r="A304" s="2" t="s">
        <v>1438</v>
      </c>
      <c r="B304" s="2" t="s">
        <v>1439</v>
      </c>
      <c r="C304" s="2" t="s">
        <v>603</v>
      </c>
      <c r="D304" s="2" t="s">
        <v>604</v>
      </c>
      <c r="E304" s="2">
        <v>85</v>
      </c>
    </row>
    <row r="305" spans="1:5" x14ac:dyDescent="0.25">
      <c r="A305" s="2" t="s">
        <v>1438</v>
      </c>
      <c r="B305" s="2" t="s">
        <v>1439</v>
      </c>
      <c r="C305" s="2" t="s">
        <v>603</v>
      </c>
      <c r="D305" s="2" t="s">
        <v>605</v>
      </c>
      <c r="E305" s="2">
        <v>132</v>
      </c>
    </row>
    <row r="306" spans="1:5" x14ac:dyDescent="0.25">
      <c r="A306" s="2" t="s">
        <v>1438</v>
      </c>
      <c r="B306" s="2" t="s">
        <v>1439</v>
      </c>
      <c r="C306" s="2" t="s">
        <v>603</v>
      </c>
      <c r="D306" s="2" t="s">
        <v>606</v>
      </c>
      <c r="E306" s="2">
        <v>157</v>
      </c>
    </row>
    <row r="307" spans="1:5" x14ac:dyDescent="0.25">
      <c r="A307" s="2" t="s">
        <v>1438</v>
      </c>
      <c r="B307" s="2" t="s">
        <v>1439</v>
      </c>
      <c r="C307" s="2" t="s">
        <v>603</v>
      </c>
      <c r="D307" s="2" t="s">
        <v>607</v>
      </c>
      <c r="E307" s="2">
        <v>179</v>
      </c>
    </row>
    <row r="308" spans="1:5" x14ac:dyDescent="0.25">
      <c r="A308" s="2" t="s">
        <v>1438</v>
      </c>
      <c r="B308" s="2" t="s">
        <v>1439</v>
      </c>
      <c r="C308" s="2" t="s">
        <v>603</v>
      </c>
      <c r="D308" s="2" t="s">
        <v>608</v>
      </c>
      <c r="E308" s="2">
        <v>212</v>
      </c>
    </row>
    <row r="309" spans="1:5" x14ac:dyDescent="0.25">
      <c r="A309" s="2" t="s">
        <v>1438</v>
      </c>
      <c r="B309" s="2" t="s">
        <v>1439</v>
      </c>
      <c r="C309" s="2" t="s">
        <v>603</v>
      </c>
      <c r="D309" s="2" t="s">
        <v>609</v>
      </c>
      <c r="E309" s="2">
        <v>233</v>
      </c>
    </row>
    <row r="310" spans="1:5" x14ac:dyDescent="0.25">
      <c r="A310" s="2" t="s">
        <v>1438</v>
      </c>
      <c r="B310" s="2" t="s">
        <v>1439</v>
      </c>
      <c r="C310" s="2" t="s">
        <v>603</v>
      </c>
      <c r="D310" s="2" t="s">
        <v>610</v>
      </c>
      <c r="E310" s="2">
        <v>240</v>
      </c>
    </row>
    <row r="311" spans="1:5" x14ac:dyDescent="0.25">
      <c r="A311" s="2" t="s">
        <v>1438</v>
      </c>
      <c r="B311" s="2" t="s">
        <v>1439</v>
      </c>
      <c r="C311" s="2" t="s">
        <v>603</v>
      </c>
      <c r="D311" s="2" t="s">
        <v>611</v>
      </c>
      <c r="E311" s="2">
        <v>260</v>
      </c>
    </row>
    <row r="312" spans="1:5" x14ac:dyDescent="0.25">
      <c r="A312" s="2" t="s">
        <v>1438</v>
      </c>
      <c r="B312" s="2" t="s">
        <v>1439</v>
      </c>
      <c r="C312" s="2" t="s">
        <v>603</v>
      </c>
      <c r="D312" s="2" t="s">
        <v>612</v>
      </c>
      <c r="E312" s="2">
        <v>276</v>
      </c>
    </row>
    <row r="313" spans="1:5" x14ac:dyDescent="0.25">
      <c r="A313" s="2" t="s">
        <v>1438</v>
      </c>
      <c r="B313" s="2" t="s">
        <v>1439</v>
      </c>
      <c r="C313" s="2" t="s">
        <v>691</v>
      </c>
      <c r="D313" s="2" t="s">
        <v>647</v>
      </c>
      <c r="E313" s="2">
        <v>157</v>
      </c>
    </row>
    <row r="314" spans="1:5" x14ac:dyDescent="0.25">
      <c r="A314" s="2" t="s">
        <v>1438</v>
      </c>
      <c r="B314" s="2" t="s">
        <v>1439</v>
      </c>
      <c r="C314" s="2" t="s">
        <v>691</v>
      </c>
      <c r="D314" s="2" t="s">
        <v>648</v>
      </c>
      <c r="E314" s="2">
        <v>179</v>
      </c>
    </row>
    <row r="315" spans="1:5" x14ac:dyDescent="0.25">
      <c r="A315" s="2" t="s">
        <v>1438</v>
      </c>
      <c r="B315" s="2" t="s">
        <v>1439</v>
      </c>
      <c r="C315" s="2" t="s">
        <v>691</v>
      </c>
      <c r="D315" s="2" t="s">
        <v>634</v>
      </c>
      <c r="E315" s="2">
        <v>212</v>
      </c>
    </row>
    <row r="316" spans="1:5" x14ac:dyDescent="0.25">
      <c r="A316" s="2" t="s">
        <v>1438</v>
      </c>
      <c r="B316" s="2" t="s">
        <v>1439</v>
      </c>
      <c r="C316" s="2" t="s">
        <v>691</v>
      </c>
      <c r="D316" s="2" t="s">
        <v>649</v>
      </c>
      <c r="E316" s="2">
        <v>212</v>
      </c>
    </row>
    <row r="317" spans="1:5" x14ac:dyDescent="0.25">
      <c r="A317" s="2" t="s">
        <v>1438</v>
      </c>
      <c r="B317" s="2" t="s">
        <v>1439</v>
      </c>
      <c r="C317" s="2" t="s">
        <v>691</v>
      </c>
      <c r="D317" s="2" t="s">
        <v>635</v>
      </c>
      <c r="E317" s="2">
        <v>233</v>
      </c>
    </row>
    <row r="318" spans="1:5" x14ac:dyDescent="0.25">
      <c r="A318" s="2" t="s">
        <v>1438</v>
      </c>
      <c r="B318" s="2" t="s">
        <v>1439</v>
      </c>
      <c r="C318" s="2" t="s">
        <v>691</v>
      </c>
      <c r="D318" s="2" t="s">
        <v>650</v>
      </c>
      <c r="E318" s="2">
        <v>233</v>
      </c>
    </row>
    <row r="319" spans="1:5" x14ac:dyDescent="0.25">
      <c r="A319" s="2" t="s">
        <v>1438</v>
      </c>
      <c r="B319" s="2" t="s">
        <v>1439</v>
      </c>
      <c r="C319" s="2" t="s">
        <v>691</v>
      </c>
      <c r="D319" s="2" t="s">
        <v>636</v>
      </c>
      <c r="E319" s="2">
        <v>240</v>
      </c>
    </row>
    <row r="320" spans="1:5" x14ac:dyDescent="0.25">
      <c r="A320" s="2" t="s">
        <v>1438</v>
      </c>
      <c r="B320" s="2" t="s">
        <v>1439</v>
      </c>
      <c r="C320" s="2" t="s">
        <v>691</v>
      </c>
      <c r="D320" s="2" t="s">
        <v>651</v>
      </c>
      <c r="E320" s="2">
        <v>240</v>
      </c>
    </row>
    <row r="321" spans="1:5" x14ac:dyDescent="0.25">
      <c r="A321" s="2" t="s">
        <v>1438</v>
      </c>
      <c r="B321" s="2" t="s">
        <v>1439</v>
      </c>
      <c r="C321" s="2" t="s">
        <v>694</v>
      </c>
      <c r="D321" s="2" t="s">
        <v>647</v>
      </c>
      <c r="E321" s="2">
        <v>157</v>
      </c>
    </row>
    <row r="322" spans="1:5" x14ac:dyDescent="0.25">
      <c r="A322" s="2" t="s">
        <v>1438</v>
      </c>
      <c r="B322" s="2" t="s">
        <v>1439</v>
      </c>
      <c r="C322" s="2" t="s">
        <v>694</v>
      </c>
      <c r="D322" s="2" t="s">
        <v>648</v>
      </c>
      <c r="E322" s="2">
        <v>179</v>
      </c>
    </row>
    <row r="323" spans="1:5" x14ac:dyDescent="0.25">
      <c r="A323" s="2" t="s">
        <v>1438</v>
      </c>
      <c r="B323" s="2" t="s">
        <v>1439</v>
      </c>
      <c r="C323" s="2" t="s">
        <v>694</v>
      </c>
      <c r="D323" s="2" t="s">
        <v>634</v>
      </c>
      <c r="E323" s="2">
        <v>212</v>
      </c>
    </row>
    <row r="324" spans="1:5" x14ac:dyDescent="0.25">
      <c r="A324" s="2" t="s">
        <v>1438</v>
      </c>
      <c r="B324" s="2" t="s">
        <v>1439</v>
      </c>
      <c r="C324" s="2" t="s">
        <v>694</v>
      </c>
      <c r="D324" s="2" t="s">
        <v>649</v>
      </c>
      <c r="E324" s="2">
        <v>212</v>
      </c>
    </row>
    <row r="325" spans="1:5" x14ac:dyDescent="0.25">
      <c r="A325" s="2" t="s">
        <v>1438</v>
      </c>
      <c r="B325" s="2" t="s">
        <v>1439</v>
      </c>
      <c r="C325" s="2" t="s">
        <v>694</v>
      </c>
      <c r="D325" s="2" t="s">
        <v>635</v>
      </c>
      <c r="E325" s="2">
        <v>233</v>
      </c>
    </row>
    <row r="326" spans="1:5" x14ac:dyDescent="0.25">
      <c r="A326" s="2" t="s">
        <v>1438</v>
      </c>
      <c r="B326" s="2" t="s">
        <v>1439</v>
      </c>
      <c r="C326" s="2" t="s">
        <v>694</v>
      </c>
      <c r="D326" s="2" t="s">
        <v>650</v>
      </c>
      <c r="E326" s="2">
        <v>233</v>
      </c>
    </row>
    <row r="327" spans="1:5" x14ac:dyDescent="0.25">
      <c r="A327" s="2" t="s">
        <v>1438</v>
      </c>
      <c r="B327" s="2" t="s">
        <v>1439</v>
      </c>
      <c r="C327" s="2" t="s">
        <v>694</v>
      </c>
      <c r="D327" s="2" t="s">
        <v>636</v>
      </c>
      <c r="E327" s="2">
        <v>240</v>
      </c>
    </row>
    <row r="328" spans="1:5" x14ac:dyDescent="0.25">
      <c r="A328" s="2" t="s">
        <v>1438</v>
      </c>
      <c r="B328" s="2" t="s">
        <v>1439</v>
      </c>
      <c r="C328" s="2" t="s">
        <v>694</v>
      </c>
      <c r="D328" s="2" t="s">
        <v>651</v>
      </c>
      <c r="E328" s="2">
        <v>240</v>
      </c>
    </row>
    <row r="329" spans="1:5" x14ac:dyDescent="0.25">
      <c r="A329" s="2" t="s">
        <v>1438</v>
      </c>
      <c r="B329" s="2" t="s">
        <v>1439</v>
      </c>
      <c r="C329" s="2" t="s">
        <v>695</v>
      </c>
      <c r="D329" s="2" t="s">
        <v>696</v>
      </c>
      <c r="E329" s="2">
        <v>260</v>
      </c>
    </row>
    <row r="330" spans="1:5" x14ac:dyDescent="0.25">
      <c r="A330" s="2" t="s">
        <v>1438</v>
      </c>
      <c r="B330" s="2" t="s">
        <v>1439</v>
      </c>
      <c r="C330" s="2" t="s">
        <v>695</v>
      </c>
      <c r="D330" s="2" t="s">
        <v>697</v>
      </c>
      <c r="E330" s="2">
        <v>276</v>
      </c>
    </row>
    <row r="331" spans="1:5" x14ac:dyDescent="0.25">
      <c r="A331" s="2" t="s">
        <v>1438</v>
      </c>
      <c r="B331" s="2" t="s">
        <v>1439</v>
      </c>
      <c r="C331" s="2" t="s">
        <v>695</v>
      </c>
      <c r="D331" s="2" t="s">
        <v>698</v>
      </c>
      <c r="E331" s="2">
        <v>276</v>
      </c>
    </row>
    <row r="332" spans="1:5" x14ac:dyDescent="0.25">
      <c r="A332" s="2" t="s">
        <v>1438</v>
      </c>
      <c r="B332" s="2" t="s">
        <v>1439</v>
      </c>
      <c r="C332" s="2" t="s">
        <v>695</v>
      </c>
      <c r="D332" s="2" t="s">
        <v>699</v>
      </c>
      <c r="E332" s="2">
        <v>276</v>
      </c>
    </row>
    <row r="333" spans="1:5" x14ac:dyDescent="0.25">
      <c r="A333" s="2" t="s">
        <v>1438</v>
      </c>
      <c r="B333" s="2" t="s">
        <v>1439</v>
      </c>
      <c r="C333" s="2" t="s">
        <v>695</v>
      </c>
      <c r="D333" s="2" t="s">
        <v>700</v>
      </c>
      <c r="E333" s="2">
        <v>276</v>
      </c>
    </row>
    <row r="334" spans="1:5" x14ac:dyDescent="0.25">
      <c r="A334" s="2" t="s">
        <v>1438</v>
      </c>
      <c r="B334" s="2" t="s">
        <v>1439</v>
      </c>
      <c r="C334" s="2" t="s">
        <v>695</v>
      </c>
      <c r="D334" s="2" t="s">
        <v>701</v>
      </c>
      <c r="E334" s="2">
        <v>276</v>
      </c>
    </row>
    <row r="335" spans="1:5" x14ac:dyDescent="0.25">
      <c r="A335" s="2" t="s">
        <v>1438</v>
      </c>
      <c r="B335" s="2" t="s">
        <v>1439</v>
      </c>
      <c r="C335" s="2" t="s">
        <v>695</v>
      </c>
      <c r="D335" s="2" t="s">
        <v>702</v>
      </c>
      <c r="E335" s="2">
        <v>276</v>
      </c>
    </row>
    <row r="336" spans="1:5" x14ac:dyDescent="0.25">
      <c r="A336" s="2" t="s">
        <v>1438</v>
      </c>
      <c r="B336" s="2" t="s">
        <v>1439</v>
      </c>
      <c r="C336" s="2" t="s">
        <v>695</v>
      </c>
      <c r="D336" s="2" t="s">
        <v>703</v>
      </c>
      <c r="E336" s="2">
        <v>276</v>
      </c>
    </row>
    <row r="337" spans="1:5" x14ac:dyDescent="0.25">
      <c r="A337" s="2" t="s">
        <v>1438</v>
      </c>
      <c r="B337" s="2" t="s">
        <v>1439</v>
      </c>
      <c r="C337" s="2" t="s">
        <v>695</v>
      </c>
      <c r="D337" s="2" t="s">
        <v>704</v>
      </c>
      <c r="E337" s="2">
        <v>276</v>
      </c>
    </row>
    <row r="338" spans="1:5" x14ac:dyDescent="0.25">
      <c r="A338" s="2" t="s">
        <v>1438</v>
      </c>
      <c r="B338" s="2" t="s">
        <v>1439</v>
      </c>
      <c r="C338" s="2" t="s">
        <v>695</v>
      </c>
      <c r="D338" s="2" t="s">
        <v>705</v>
      </c>
      <c r="E338" s="2">
        <v>276</v>
      </c>
    </row>
    <row r="339" spans="1:5" x14ac:dyDescent="0.25">
      <c r="A339" s="2" t="s">
        <v>1440</v>
      </c>
      <c r="B339" s="2" t="s">
        <v>1441</v>
      </c>
      <c r="C339" s="2" t="s">
        <v>691</v>
      </c>
      <c r="D339" s="2" t="s">
        <v>647</v>
      </c>
      <c r="E339" s="2">
        <v>175</v>
      </c>
    </row>
    <row r="340" spans="1:5" x14ac:dyDescent="0.25">
      <c r="A340" s="2" t="s">
        <v>1440</v>
      </c>
      <c r="B340" s="2" t="s">
        <v>1441</v>
      </c>
      <c r="C340" s="2" t="s">
        <v>691</v>
      </c>
      <c r="D340" s="2" t="s">
        <v>648</v>
      </c>
      <c r="E340" s="2">
        <v>200</v>
      </c>
    </row>
    <row r="341" spans="1:5" x14ac:dyDescent="0.25">
      <c r="A341" s="2" t="s">
        <v>1440</v>
      </c>
      <c r="B341" s="2" t="s">
        <v>1441</v>
      </c>
      <c r="C341" s="2" t="s">
        <v>691</v>
      </c>
      <c r="D341" s="2" t="s">
        <v>634</v>
      </c>
      <c r="E341" s="2">
        <v>250</v>
      </c>
    </row>
    <row r="342" spans="1:5" x14ac:dyDescent="0.25">
      <c r="A342" s="2" t="s">
        <v>1440</v>
      </c>
      <c r="B342" s="2" t="s">
        <v>1441</v>
      </c>
      <c r="C342" s="2" t="s">
        <v>691</v>
      </c>
      <c r="D342" s="2" t="s">
        <v>649</v>
      </c>
      <c r="E342" s="2">
        <v>250</v>
      </c>
    </row>
    <row r="343" spans="1:5" x14ac:dyDescent="0.25">
      <c r="A343" s="2" t="s">
        <v>1440</v>
      </c>
      <c r="B343" s="2" t="s">
        <v>1441</v>
      </c>
      <c r="C343" s="2" t="s">
        <v>691</v>
      </c>
      <c r="D343" s="2" t="s">
        <v>635</v>
      </c>
      <c r="E343" s="2">
        <v>295</v>
      </c>
    </row>
    <row r="344" spans="1:5" x14ac:dyDescent="0.25">
      <c r="A344" s="2" t="s">
        <v>1440</v>
      </c>
      <c r="B344" s="2" t="s">
        <v>1441</v>
      </c>
      <c r="C344" s="2" t="s">
        <v>691</v>
      </c>
      <c r="D344" s="2" t="s">
        <v>650</v>
      </c>
      <c r="E344" s="2">
        <v>295</v>
      </c>
    </row>
    <row r="345" spans="1:5" x14ac:dyDescent="0.25">
      <c r="A345" s="2" t="s">
        <v>1440</v>
      </c>
      <c r="B345" s="2" t="s">
        <v>1441</v>
      </c>
      <c r="C345" s="2" t="s">
        <v>691</v>
      </c>
      <c r="D345" s="2" t="s">
        <v>636</v>
      </c>
      <c r="E345" s="2">
        <v>315</v>
      </c>
    </row>
    <row r="346" spans="1:5" x14ac:dyDescent="0.25">
      <c r="A346" s="2" t="s">
        <v>1440</v>
      </c>
      <c r="B346" s="2" t="s">
        <v>1441</v>
      </c>
      <c r="C346" s="2" t="s">
        <v>691</v>
      </c>
      <c r="D346" s="2" t="s">
        <v>651</v>
      </c>
      <c r="E346" s="2">
        <v>315</v>
      </c>
    </row>
    <row r="347" spans="1:5" x14ac:dyDescent="0.25">
      <c r="A347" s="2" t="s">
        <v>1440</v>
      </c>
      <c r="B347" s="2" t="s">
        <v>1441</v>
      </c>
      <c r="C347" s="2" t="s">
        <v>694</v>
      </c>
      <c r="D347" s="2" t="s">
        <v>647</v>
      </c>
      <c r="E347" s="2">
        <v>175</v>
      </c>
    </row>
    <row r="348" spans="1:5" x14ac:dyDescent="0.25">
      <c r="A348" s="2" t="s">
        <v>1440</v>
      </c>
      <c r="B348" s="2" t="s">
        <v>1441</v>
      </c>
      <c r="C348" s="2" t="s">
        <v>694</v>
      </c>
      <c r="D348" s="2" t="s">
        <v>648</v>
      </c>
      <c r="E348" s="2">
        <v>200</v>
      </c>
    </row>
    <row r="349" spans="1:5" x14ac:dyDescent="0.25">
      <c r="A349" s="2" t="s">
        <v>1440</v>
      </c>
      <c r="B349" s="2" t="s">
        <v>1441</v>
      </c>
      <c r="C349" s="2" t="s">
        <v>694</v>
      </c>
      <c r="D349" s="2" t="s">
        <v>634</v>
      </c>
      <c r="E349" s="2">
        <v>250</v>
      </c>
    </row>
    <row r="350" spans="1:5" x14ac:dyDescent="0.25">
      <c r="A350" s="2" t="s">
        <v>1440</v>
      </c>
      <c r="B350" s="2" t="s">
        <v>1441</v>
      </c>
      <c r="C350" s="2" t="s">
        <v>694</v>
      </c>
      <c r="D350" s="2" t="s">
        <v>649</v>
      </c>
      <c r="E350" s="2">
        <v>250</v>
      </c>
    </row>
    <row r="351" spans="1:5" x14ac:dyDescent="0.25">
      <c r="A351" s="2" t="s">
        <v>1440</v>
      </c>
      <c r="B351" s="2" t="s">
        <v>1441</v>
      </c>
      <c r="C351" s="2" t="s">
        <v>694</v>
      </c>
      <c r="D351" s="2" t="s">
        <v>635</v>
      </c>
      <c r="E351" s="2">
        <v>295</v>
      </c>
    </row>
    <row r="352" spans="1:5" x14ac:dyDescent="0.25">
      <c r="A352" s="2" t="s">
        <v>1440</v>
      </c>
      <c r="B352" s="2" t="s">
        <v>1441</v>
      </c>
      <c r="C352" s="2" t="s">
        <v>694</v>
      </c>
      <c r="D352" s="2" t="s">
        <v>650</v>
      </c>
      <c r="E352" s="2">
        <v>295</v>
      </c>
    </row>
    <row r="353" spans="1:5" x14ac:dyDescent="0.25">
      <c r="A353" s="2" t="s">
        <v>1440</v>
      </c>
      <c r="B353" s="2" t="s">
        <v>1441</v>
      </c>
      <c r="C353" s="2" t="s">
        <v>694</v>
      </c>
      <c r="D353" s="2" t="s">
        <v>636</v>
      </c>
      <c r="E353" s="2">
        <v>315</v>
      </c>
    </row>
    <row r="354" spans="1:5" x14ac:dyDescent="0.25">
      <c r="A354" s="2" t="s">
        <v>1440</v>
      </c>
      <c r="B354" s="2" t="s">
        <v>1441</v>
      </c>
      <c r="C354" s="2" t="s">
        <v>694</v>
      </c>
      <c r="D354" s="2" t="s">
        <v>651</v>
      </c>
      <c r="E354" s="2">
        <v>315</v>
      </c>
    </row>
    <row r="355" spans="1:5" x14ac:dyDescent="0.25">
      <c r="A355" s="2" t="s">
        <v>1440</v>
      </c>
      <c r="B355" s="2" t="s">
        <v>1441</v>
      </c>
      <c r="C355" s="2" t="s">
        <v>695</v>
      </c>
      <c r="D355" s="2" t="s">
        <v>696</v>
      </c>
      <c r="E355" s="2">
        <v>350</v>
      </c>
    </row>
    <row r="356" spans="1:5" x14ac:dyDescent="0.25">
      <c r="A356" s="2" t="s">
        <v>1440</v>
      </c>
      <c r="B356" s="2" t="s">
        <v>1441</v>
      </c>
      <c r="C356" s="2" t="s">
        <v>695</v>
      </c>
      <c r="D356" s="2" t="s">
        <v>697</v>
      </c>
      <c r="E356" s="2">
        <v>350</v>
      </c>
    </row>
    <row r="357" spans="1:5" x14ac:dyDescent="0.25">
      <c r="A357" s="2" t="s">
        <v>1440</v>
      </c>
      <c r="B357" s="2" t="s">
        <v>1441</v>
      </c>
      <c r="C357" s="2" t="s">
        <v>695</v>
      </c>
      <c r="D357" s="2" t="s">
        <v>698</v>
      </c>
      <c r="E357" s="2">
        <v>350</v>
      </c>
    </row>
    <row r="358" spans="1:5" x14ac:dyDescent="0.25">
      <c r="A358" s="2" t="s">
        <v>1440</v>
      </c>
      <c r="B358" s="2" t="s">
        <v>1441</v>
      </c>
      <c r="C358" s="2" t="s">
        <v>695</v>
      </c>
      <c r="D358" s="2" t="s">
        <v>699</v>
      </c>
      <c r="E358" s="2">
        <v>350</v>
      </c>
    </row>
    <row r="359" spans="1:5" x14ac:dyDescent="0.25">
      <c r="A359" s="2" t="s">
        <v>1440</v>
      </c>
      <c r="B359" s="2" t="s">
        <v>1441</v>
      </c>
      <c r="C359" s="2" t="s">
        <v>695</v>
      </c>
      <c r="D359" s="2" t="s">
        <v>700</v>
      </c>
      <c r="E359" s="2">
        <v>350</v>
      </c>
    </row>
    <row r="360" spans="1:5" x14ac:dyDescent="0.25">
      <c r="A360" s="2" t="s">
        <v>1440</v>
      </c>
      <c r="B360" s="2" t="s">
        <v>1441</v>
      </c>
      <c r="C360" s="2" t="s">
        <v>695</v>
      </c>
      <c r="D360" s="2" t="s">
        <v>701</v>
      </c>
      <c r="E360" s="2">
        <v>350</v>
      </c>
    </row>
    <row r="361" spans="1:5" x14ac:dyDescent="0.25">
      <c r="A361" s="2" t="s">
        <v>1440</v>
      </c>
      <c r="B361" s="2" t="s">
        <v>1441</v>
      </c>
      <c r="C361" s="2" t="s">
        <v>695</v>
      </c>
      <c r="D361" s="2" t="s">
        <v>702</v>
      </c>
      <c r="E361" s="2">
        <v>350</v>
      </c>
    </row>
    <row r="362" spans="1:5" x14ac:dyDescent="0.25">
      <c r="A362" s="2" t="s">
        <v>1440</v>
      </c>
      <c r="B362" s="2" t="s">
        <v>1441</v>
      </c>
      <c r="C362" s="2" t="s">
        <v>695</v>
      </c>
      <c r="D362" s="2" t="s">
        <v>703</v>
      </c>
      <c r="E362" s="2">
        <v>350</v>
      </c>
    </row>
    <row r="363" spans="1:5" x14ac:dyDescent="0.25">
      <c r="A363" s="2" t="s">
        <v>1440</v>
      </c>
      <c r="B363" s="2" t="s">
        <v>1441</v>
      </c>
      <c r="C363" s="2" t="s">
        <v>695</v>
      </c>
      <c r="D363" s="2" t="s">
        <v>704</v>
      </c>
      <c r="E363" s="2">
        <v>350</v>
      </c>
    </row>
    <row r="364" spans="1:5" x14ac:dyDescent="0.25">
      <c r="A364" s="2" t="s">
        <v>1440</v>
      </c>
      <c r="B364" s="2" t="s">
        <v>1441</v>
      </c>
      <c r="C364" s="2" t="s">
        <v>695</v>
      </c>
      <c r="D364" s="2" t="s">
        <v>705</v>
      </c>
      <c r="E364" s="2">
        <v>350</v>
      </c>
    </row>
    <row r="365" spans="1:5" x14ac:dyDescent="0.25">
      <c r="A365" s="2" t="s">
        <v>1442</v>
      </c>
      <c r="B365" s="2" t="s">
        <v>1443</v>
      </c>
      <c r="C365" s="2" t="s">
        <v>603</v>
      </c>
      <c r="D365" s="2" t="s">
        <v>604</v>
      </c>
      <c r="E365" s="2">
        <v>81</v>
      </c>
    </row>
    <row r="366" spans="1:5" x14ac:dyDescent="0.25">
      <c r="A366" s="2" t="s">
        <v>1442</v>
      </c>
      <c r="B366" s="2" t="s">
        <v>1443</v>
      </c>
      <c r="C366" s="2" t="s">
        <v>603</v>
      </c>
      <c r="D366" s="2" t="s">
        <v>605</v>
      </c>
      <c r="E366" s="2">
        <v>171</v>
      </c>
    </row>
    <row r="367" spans="1:5" x14ac:dyDescent="0.25">
      <c r="A367" s="2" t="s">
        <v>1442</v>
      </c>
      <c r="B367" s="2" t="s">
        <v>1443</v>
      </c>
      <c r="C367" s="2" t="s">
        <v>603</v>
      </c>
      <c r="D367" s="2" t="s">
        <v>606</v>
      </c>
      <c r="E367" s="2">
        <v>189</v>
      </c>
    </row>
    <row r="368" spans="1:5" x14ac:dyDescent="0.25">
      <c r="A368" s="2" t="s">
        <v>1442</v>
      </c>
      <c r="B368" s="2" t="s">
        <v>1443</v>
      </c>
      <c r="C368" s="2" t="s">
        <v>603</v>
      </c>
      <c r="D368" s="2" t="s">
        <v>607</v>
      </c>
      <c r="E368" s="2">
        <v>216</v>
      </c>
    </row>
    <row r="369" spans="1:5" x14ac:dyDescent="0.25">
      <c r="A369" s="2" t="s">
        <v>1442</v>
      </c>
      <c r="B369" s="2" t="s">
        <v>1443</v>
      </c>
      <c r="C369" s="2" t="s">
        <v>603</v>
      </c>
      <c r="D369" s="2" t="s">
        <v>608</v>
      </c>
      <c r="E369" s="2">
        <v>243</v>
      </c>
    </row>
    <row r="370" spans="1:5" x14ac:dyDescent="0.25">
      <c r="A370" s="2" t="s">
        <v>1442</v>
      </c>
      <c r="B370" s="2" t="s">
        <v>1443</v>
      </c>
      <c r="C370" s="2" t="s">
        <v>603</v>
      </c>
      <c r="D370" s="2" t="s">
        <v>609</v>
      </c>
      <c r="E370" s="2">
        <v>270</v>
      </c>
    </row>
    <row r="371" spans="1:5" x14ac:dyDescent="0.25">
      <c r="A371" s="2" t="s">
        <v>1442</v>
      </c>
      <c r="B371" s="2" t="s">
        <v>1443</v>
      </c>
      <c r="C371" s="2" t="s">
        <v>603</v>
      </c>
      <c r="D371" s="2" t="s">
        <v>610</v>
      </c>
      <c r="E371" s="2">
        <v>297</v>
      </c>
    </row>
    <row r="372" spans="1:5" x14ac:dyDescent="0.25">
      <c r="A372" s="2" t="s">
        <v>1442</v>
      </c>
      <c r="B372" s="2" t="s">
        <v>1443</v>
      </c>
      <c r="C372" s="2" t="s">
        <v>603</v>
      </c>
      <c r="D372" s="2" t="s">
        <v>611</v>
      </c>
      <c r="E372" s="2">
        <v>324</v>
      </c>
    </row>
    <row r="373" spans="1:5" x14ac:dyDescent="0.25">
      <c r="A373" s="2" t="s">
        <v>1442</v>
      </c>
      <c r="B373" s="2" t="s">
        <v>1443</v>
      </c>
      <c r="C373" s="2" t="s">
        <v>603</v>
      </c>
      <c r="D373" s="2" t="s">
        <v>612</v>
      </c>
      <c r="E373" s="2">
        <v>342</v>
      </c>
    </row>
    <row r="374" spans="1:5" x14ac:dyDescent="0.25">
      <c r="A374" s="2" t="s">
        <v>1442</v>
      </c>
      <c r="B374" s="2" t="s">
        <v>1443</v>
      </c>
      <c r="C374" s="2" t="s">
        <v>603</v>
      </c>
      <c r="D374" s="2" t="s">
        <v>613</v>
      </c>
      <c r="E374" s="2">
        <v>383</v>
      </c>
    </row>
    <row r="375" spans="1:5" x14ac:dyDescent="0.25">
      <c r="A375" s="2" t="s">
        <v>1444</v>
      </c>
      <c r="B375" s="2" t="s">
        <v>1445</v>
      </c>
      <c r="C375" s="2" t="s">
        <v>691</v>
      </c>
      <c r="D375" s="2" t="s">
        <v>647</v>
      </c>
      <c r="E375" s="2">
        <v>166</v>
      </c>
    </row>
    <row r="376" spans="1:5" x14ac:dyDescent="0.25">
      <c r="A376" s="2" t="s">
        <v>1444</v>
      </c>
      <c r="B376" s="2" t="s">
        <v>1445</v>
      </c>
      <c r="C376" s="2" t="s">
        <v>691</v>
      </c>
      <c r="D376" s="2" t="s">
        <v>648</v>
      </c>
      <c r="E376" s="2">
        <v>192</v>
      </c>
    </row>
    <row r="377" spans="1:5" x14ac:dyDescent="0.25">
      <c r="A377" s="2" t="s">
        <v>1444</v>
      </c>
      <c r="B377" s="2" t="s">
        <v>1445</v>
      </c>
      <c r="C377" s="2" t="s">
        <v>691</v>
      </c>
      <c r="D377" s="2" t="s">
        <v>634</v>
      </c>
      <c r="E377" s="2">
        <v>240</v>
      </c>
    </row>
    <row r="378" spans="1:5" x14ac:dyDescent="0.25">
      <c r="A378" s="2" t="s">
        <v>1444</v>
      </c>
      <c r="B378" s="2" t="s">
        <v>1445</v>
      </c>
      <c r="C378" s="2" t="s">
        <v>691</v>
      </c>
      <c r="D378" s="2" t="s">
        <v>649</v>
      </c>
      <c r="E378" s="2">
        <v>240</v>
      </c>
    </row>
    <row r="379" spans="1:5" x14ac:dyDescent="0.25">
      <c r="A379" s="2" t="s">
        <v>1444</v>
      </c>
      <c r="B379" s="2" t="s">
        <v>1445</v>
      </c>
      <c r="C379" s="2" t="s">
        <v>691</v>
      </c>
      <c r="D379" s="2" t="s">
        <v>635</v>
      </c>
      <c r="E379" s="2">
        <v>279</v>
      </c>
    </row>
    <row r="380" spans="1:5" x14ac:dyDescent="0.25">
      <c r="A380" s="2" t="s">
        <v>1444</v>
      </c>
      <c r="B380" s="2" t="s">
        <v>1445</v>
      </c>
      <c r="C380" s="2" t="s">
        <v>691</v>
      </c>
      <c r="D380" s="2" t="s">
        <v>650</v>
      </c>
      <c r="E380" s="2">
        <v>279</v>
      </c>
    </row>
    <row r="381" spans="1:5" x14ac:dyDescent="0.25">
      <c r="A381" s="2" t="s">
        <v>1444</v>
      </c>
      <c r="B381" s="2" t="s">
        <v>1445</v>
      </c>
      <c r="C381" s="2" t="s">
        <v>691</v>
      </c>
      <c r="D381" s="2" t="s">
        <v>636</v>
      </c>
      <c r="E381" s="2">
        <v>300</v>
      </c>
    </row>
    <row r="382" spans="1:5" x14ac:dyDescent="0.25">
      <c r="A382" s="2" t="s">
        <v>1444</v>
      </c>
      <c r="B382" s="2" t="s">
        <v>1445</v>
      </c>
      <c r="C382" s="2" t="s">
        <v>691</v>
      </c>
      <c r="D382" s="2" t="s">
        <v>651</v>
      </c>
      <c r="E382" s="2">
        <v>300</v>
      </c>
    </row>
    <row r="383" spans="1:5" x14ac:dyDescent="0.25">
      <c r="A383" s="2" t="s">
        <v>1444</v>
      </c>
      <c r="B383" s="2" t="s">
        <v>1445</v>
      </c>
      <c r="C383" s="2" t="s">
        <v>694</v>
      </c>
      <c r="D383" s="2" t="s">
        <v>647</v>
      </c>
      <c r="E383" s="2">
        <v>166</v>
      </c>
    </row>
    <row r="384" spans="1:5" x14ac:dyDescent="0.25">
      <c r="A384" s="2" t="s">
        <v>1444</v>
      </c>
      <c r="B384" s="2" t="s">
        <v>1445</v>
      </c>
      <c r="C384" s="2" t="s">
        <v>694</v>
      </c>
      <c r="D384" s="2" t="s">
        <v>648</v>
      </c>
      <c r="E384" s="2">
        <v>192</v>
      </c>
    </row>
    <row r="385" spans="1:5" x14ac:dyDescent="0.25">
      <c r="A385" s="2" t="s">
        <v>1444</v>
      </c>
      <c r="B385" s="2" t="s">
        <v>1445</v>
      </c>
      <c r="C385" s="2" t="s">
        <v>694</v>
      </c>
      <c r="D385" s="2" t="s">
        <v>634</v>
      </c>
      <c r="E385" s="2">
        <v>240</v>
      </c>
    </row>
    <row r="386" spans="1:5" x14ac:dyDescent="0.25">
      <c r="A386" s="2" t="s">
        <v>1444</v>
      </c>
      <c r="B386" s="2" t="s">
        <v>1445</v>
      </c>
      <c r="C386" s="2" t="s">
        <v>694</v>
      </c>
      <c r="D386" s="2" t="s">
        <v>649</v>
      </c>
      <c r="E386" s="2">
        <v>240</v>
      </c>
    </row>
    <row r="387" spans="1:5" x14ac:dyDescent="0.25">
      <c r="A387" s="2" t="s">
        <v>1444</v>
      </c>
      <c r="B387" s="2" t="s">
        <v>1445</v>
      </c>
      <c r="C387" s="2" t="s">
        <v>694</v>
      </c>
      <c r="D387" s="2" t="s">
        <v>635</v>
      </c>
      <c r="E387" s="2">
        <v>279</v>
      </c>
    </row>
    <row r="388" spans="1:5" x14ac:dyDescent="0.25">
      <c r="A388" s="2" t="s">
        <v>1444</v>
      </c>
      <c r="B388" s="2" t="s">
        <v>1445</v>
      </c>
      <c r="C388" s="2" t="s">
        <v>694</v>
      </c>
      <c r="D388" s="2" t="s">
        <v>650</v>
      </c>
      <c r="E388" s="2">
        <v>279</v>
      </c>
    </row>
    <row r="389" spans="1:5" x14ac:dyDescent="0.25">
      <c r="A389" s="2" t="s">
        <v>1444</v>
      </c>
      <c r="B389" s="2" t="s">
        <v>1445</v>
      </c>
      <c r="C389" s="2" t="s">
        <v>694</v>
      </c>
      <c r="D389" s="2" t="s">
        <v>636</v>
      </c>
      <c r="E389" s="2">
        <v>300</v>
      </c>
    </row>
    <row r="390" spans="1:5" x14ac:dyDescent="0.25">
      <c r="A390" s="2" t="s">
        <v>1444</v>
      </c>
      <c r="B390" s="2" t="s">
        <v>1445</v>
      </c>
      <c r="C390" s="2" t="s">
        <v>694</v>
      </c>
      <c r="D390" s="2" t="s">
        <v>651</v>
      </c>
      <c r="E390" s="2">
        <v>300</v>
      </c>
    </row>
    <row r="391" spans="1:5" x14ac:dyDescent="0.25">
      <c r="A391" s="2" t="s">
        <v>1444</v>
      </c>
      <c r="B391" s="2" t="s">
        <v>1445</v>
      </c>
      <c r="C391" s="2" t="s">
        <v>695</v>
      </c>
      <c r="D391" s="2" t="s">
        <v>696</v>
      </c>
      <c r="E391" s="2">
        <v>375</v>
      </c>
    </row>
    <row r="392" spans="1:5" x14ac:dyDescent="0.25">
      <c r="A392" s="2" t="s">
        <v>1444</v>
      </c>
      <c r="B392" s="2" t="s">
        <v>1445</v>
      </c>
      <c r="C392" s="2" t="s">
        <v>695</v>
      </c>
      <c r="D392" s="2" t="s">
        <v>697</v>
      </c>
      <c r="E392" s="2">
        <v>375</v>
      </c>
    </row>
    <row r="393" spans="1:5" x14ac:dyDescent="0.25">
      <c r="A393" s="2" t="s">
        <v>1444</v>
      </c>
      <c r="B393" s="2" t="s">
        <v>1445</v>
      </c>
      <c r="C393" s="2" t="s">
        <v>695</v>
      </c>
      <c r="D393" s="2" t="s">
        <v>698</v>
      </c>
      <c r="E393" s="2">
        <v>375</v>
      </c>
    </row>
    <row r="394" spans="1:5" x14ac:dyDescent="0.25">
      <c r="A394" s="2" t="s">
        <v>1444</v>
      </c>
      <c r="B394" s="2" t="s">
        <v>1445</v>
      </c>
      <c r="C394" s="2" t="s">
        <v>695</v>
      </c>
      <c r="D394" s="2" t="s">
        <v>699</v>
      </c>
      <c r="E394" s="2">
        <v>375</v>
      </c>
    </row>
    <row r="395" spans="1:5" x14ac:dyDescent="0.25">
      <c r="A395" s="2" t="s">
        <v>1444</v>
      </c>
      <c r="B395" s="2" t="s">
        <v>1445</v>
      </c>
      <c r="C395" s="2" t="s">
        <v>695</v>
      </c>
      <c r="D395" s="2" t="s">
        <v>700</v>
      </c>
      <c r="E395" s="2">
        <v>375</v>
      </c>
    </row>
    <row r="396" spans="1:5" x14ac:dyDescent="0.25">
      <c r="A396" s="2" t="s">
        <v>1444</v>
      </c>
      <c r="B396" s="2" t="s">
        <v>1445</v>
      </c>
      <c r="C396" s="2" t="s">
        <v>695</v>
      </c>
      <c r="D396" s="2" t="s">
        <v>701</v>
      </c>
      <c r="E396" s="2">
        <v>375</v>
      </c>
    </row>
    <row r="397" spans="1:5" x14ac:dyDescent="0.25">
      <c r="A397" s="2" t="s">
        <v>1444</v>
      </c>
      <c r="B397" s="2" t="s">
        <v>1445</v>
      </c>
      <c r="C397" s="2" t="s">
        <v>695</v>
      </c>
      <c r="D397" s="2" t="s">
        <v>702</v>
      </c>
      <c r="E397" s="2">
        <v>375</v>
      </c>
    </row>
    <row r="398" spans="1:5" x14ac:dyDescent="0.25">
      <c r="A398" s="2" t="s">
        <v>1444</v>
      </c>
      <c r="B398" s="2" t="s">
        <v>1445</v>
      </c>
      <c r="C398" s="2" t="s">
        <v>695</v>
      </c>
      <c r="D398" s="2" t="s">
        <v>703</v>
      </c>
      <c r="E398" s="2">
        <v>375</v>
      </c>
    </row>
    <row r="399" spans="1:5" x14ac:dyDescent="0.25">
      <c r="A399" s="2" t="s">
        <v>1444</v>
      </c>
      <c r="B399" s="2" t="s">
        <v>1445</v>
      </c>
      <c r="C399" s="2" t="s">
        <v>695</v>
      </c>
      <c r="D399" s="2" t="s">
        <v>704</v>
      </c>
      <c r="E399" s="2">
        <v>375</v>
      </c>
    </row>
    <row r="400" spans="1:5" x14ac:dyDescent="0.25">
      <c r="A400" s="2" t="s">
        <v>1444</v>
      </c>
      <c r="B400" s="2" t="s">
        <v>1445</v>
      </c>
      <c r="C400" s="2" t="s">
        <v>695</v>
      </c>
      <c r="D400" s="2" t="s">
        <v>705</v>
      </c>
      <c r="E400" s="2">
        <v>375</v>
      </c>
    </row>
    <row r="401" spans="1:5" x14ac:dyDescent="0.25">
      <c r="A401" s="2" t="s">
        <v>1446</v>
      </c>
      <c r="B401" s="2" t="s">
        <v>1447</v>
      </c>
      <c r="C401" s="2" t="s">
        <v>691</v>
      </c>
      <c r="D401" s="2" t="s">
        <v>693</v>
      </c>
      <c r="E401" s="2">
        <v>45</v>
      </c>
    </row>
    <row r="402" spans="1:5" x14ac:dyDescent="0.25">
      <c r="A402" s="2" t="s">
        <v>1446</v>
      </c>
      <c r="B402" s="2" t="s">
        <v>1447</v>
      </c>
      <c r="C402" s="2" t="s">
        <v>691</v>
      </c>
      <c r="D402" s="2" t="s">
        <v>647</v>
      </c>
      <c r="E402" s="2">
        <v>146.30000000000001</v>
      </c>
    </row>
    <row r="403" spans="1:5" x14ac:dyDescent="0.25">
      <c r="A403" s="2" t="s">
        <v>1446</v>
      </c>
      <c r="B403" s="2" t="s">
        <v>1447</v>
      </c>
      <c r="C403" s="2" t="s">
        <v>691</v>
      </c>
      <c r="D403" s="2" t="s">
        <v>648</v>
      </c>
      <c r="E403" s="2">
        <v>157.5</v>
      </c>
    </row>
    <row r="404" spans="1:5" x14ac:dyDescent="0.25">
      <c r="A404" s="2" t="s">
        <v>1446</v>
      </c>
      <c r="B404" s="2" t="s">
        <v>1447</v>
      </c>
      <c r="C404" s="2" t="s">
        <v>691</v>
      </c>
      <c r="D404" s="2" t="s">
        <v>634</v>
      </c>
      <c r="E404" s="2">
        <v>203.04</v>
      </c>
    </row>
    <row r="405" spans="1:5" x14ac:dyDescent="0.25">
      <c r="A405" s="2" t="s">
        <v>1446</v>
      </c>
      <c r="B405" s="2" t="s">
        <v>1447</v>
      </c>
      <c r="C405" s="2" t="s">
        <v>691</v>
      </c>
      <c r="D405" s="2" t="s">
        <v>649</v>
      </c>
      <c r="E405" s="2">
        <v>203.04</v>
      </c>
    </row>
    <row r="406" spans="1:5" x14ac:dyDescent="0.25">
      <c r="A406" s="2" t="s">
        <v>1446</v>
      </c>
      <c r="B406" s="2" t="s">
        <v>1447</v>
      </c>
      <c r="C406" s="2" t="s">
        <v>691</v>
      </c>
      <c r="D406" s="2" t="s">
        <v>635</v>
      </c>
      <c r="E406" s="2">
        <v>231</v>
      </c>
    </row>
    <row r="407" spans="1:5" x14ac:dyDescent="0.25">
      <c r="A407" s="2" t="s">
        <v>1446</v>
      </c>
      <c r="B407" s="2" t="s">
        <v>1447</v>
      </c>
      <c r="C407" s="2" t="s">
        <v>691</v>
      </c>
      <c r="D407" s="2" t="s">
        <v>650</v>
      </c>
      <c r="E407" s="2">
        <v>231</v>
      </c>
    </row>
    <row r="408" spans="1:5" x14ac:dyDescent="0.25">
      <c r="A408" s="2" t="s">
        <v>1446</v>
      </c>
      <c r="B408" s="2" t="s">
        <v>1447</v>
      </c>
      <c r="C408" s="2" t="s">
        <v>694</v>
      </c>
      <c r="D408" s="2" t="s">
        <v>693</v>
      </c>
      <c r="E408" s="2">
        <v>45</v>
      </c>
    </row>
    <row r="409" spans="1:5" x14ac:dyDescent="0.25">
      <c r="A409" s="2" t="s">
        <v>1446</v>
      </c>
      <c r="B409" s="2" t="s">
        <v>1447</v>
      </c>
      <c r="C409" s="2" t="s">
        <v>694</v>
      </c>
      <c r="D409" s="2" t="s">
        <v>647</v>
      </c>
      <c r="E409" s="2">
        <v>146.30000000000001</v>
      </c>
    </row>
    <row r="410" spans="1:5" x14ac:dyDescent="0.25">
      <c r="A410" s="2" t="s">
        <v>1446</v>
      </c>
      <c r="B410" s="2" t="s">
        <v>1447</v>
      </c>
      <c r="C410" s="2" t="s">
        <v>694</v>
      </c>
      <c r="D410" s="2" t="s">
        <v>648</v>
      </c>
      <c r="E410" s="2">
        <v>157.5</v>
      </c>
    </row>
    <row r="411" spans="1:5" x14ac:dyDescent="0.25">
      <c r="A411" s="2" t="s">
        <v>1446</v>
      </c>
      <c r="B411" s="2" t="s">
        <v>1447</v>
      </c>
      <c r="C411" s="2" t="s">
        <v>694</v>
      </c>
      <c r="D411" s="2" t="s">
        <v>634</v>
      </c>
      <c r="E411" s="2">
        <v>203.04</v>
      </c>
    </row>
    <row r="412" spans="1:5" x14ac:dyDescent="0.25">
      <c r="A412" s="2" t="s">
        <v>1446</v>
      </c>
      <c r="B412" s="2" t="s">
        <v>1447</v>
      </c>
      <c r="C412" s="2" t="s">
        <v>694</v>
      </c>
      <c r="D412" s="2" t="s">
        <v>649</v>
      </c>
      <c r="E412" s="2">
        <v>203.04</v>
      </c>
    </row>
    <row r="413" spans="1:5" x14ac:dyDescent="0.25">
      <c r="A413" s="2" t="s">
        <v>1446</v>
      </c>
      <c r="B413" s="2" t="s">
        <v>1447</v>
      </c>
      <c r="C413" s="2" t="s">
        <v>694</v>
      </c>
      <c r="D413" s="2" t="s">
        <v>635</v>
      </c>
      <c r="E413" s="2">
        <v>231</v>
      </c>
    </row>
    <row r="414" spans="1:5" x14ac:dyDescent="0.25">
      <c r="A414" s="2" t="s">
        <v>1446</v>
      </c>
      <c r="B414" s="2" t="s">
        <v>1447</v>
      </c>
      <c r="C414" s="2" t="s">
        <v>694</v>
      </c>
      <c r="D414" s="2" t="s">
        <v>650</v>
      </c>
      <c r="E414" s="2">
        <v>231</v>
      </c>
    </row>
    <row r="415" spans="1:5" x14ac:dyDescent="0.25">
      <c r="A415" s="2" t="s">
        <v>1446</v>
      </c>
      <c r="B415" s="2" t="s">
        <v>1447</v>
      </c>
      <c r="C415" s="2" t="s">
        <v>695</v>
      </c>
      <c r="D415" s="2" t="s">
        <v>696</v>
      </c>
      <c r="E415" s="2">
        <v>298.14999999999998</v>
      </c>
    </row>
    <row r="416" spans="1:5" x14ac:dyDescent="0.25">
      <c r="A416" s="2" t="s">
        <v>1446</v>
      </c>
      <c r="B416" s="2" t="s">
        <v>1447</v>
      </c>
      <c r="C416" s="2" t="s">
        <v>695</v>
      </c>
      <c r="D416" s="2" t="s">
        <v>697</v>
      </c>
      <c r="E416" s="2">
        <v>298.14999999999998</v>
      </c>
    </row>
    <row r="417" spans="1:5" x14ac:dyDescent="0.25">
      <c r="A417" s="2" t="s">
        <v>1446</v>
      </c>
      <c r="B417" s="2" t="s">
        <v>1447</v>
      </c>
      <c r="C417" s="2" t="s">
        <v>695</v>
      </c>
      <c r="D417" s="2" t="s">
        <v>698</v>
      </c>
      <c r="E417" s="2">
        <v>298.14999999999998</v>
      </c>
    </row>
    <row r="418" spans="1:5" x14ac:dyDescent="0.25">
      <c r="A418" s="2" t="s">
        <v>1446</v>
      </c>
      <c r="B418" s="2" t="s">
        <v>1447</v>
      </c>
      <c r="C418" s="2" t="s">
        <v>695</v>
      </c>
      <c r="D418" s="2" t="s">
        <v>699</v>
      </c>
      <c r="E418" s="2">
        <v>298.14999999999998</v>
      </c>
    </row>
    <row r="419" spans="1:5" x14ac:dyDescent="0.25">
      <c r="A419" s="2" t="s">
        <v>1446</v>
      </c>
      <c r="B419" s="2" t="s">
        <v>1447</v>
      </c>
      <c r="C419" s="2" t="s">
        <v>695</v>
      </c>
      <c r="D419" s="2" t="s">
        <v>700</v>
      </c>
      <c r="E419" s="2">
        <v>298.14999999999998</v>
      </c>
    </row>
    <row r="420" spans="1:5" x14ac:dyDescent="0.25">
      <c r="A420" s="2" t="s">
        <v>1446</v>
      </c>
      <c r="B420" s="2" t="s">
        <v>1447</v>
      </c>
      <c r="C420" s="2" t="s">
        <v>695</v>
      </c>
      <c r="D420" s="2" t="s">
        <v>701</v>
      </c>
      <c r="E420" s="2">
        <v>298.14999999999998</v>
      </c>
    </row>
    <row r="421" spans="1:5" x14ac:dyDescent="0.25">
      <c r="A421" s="2" t="s">
        <v>1446</v>
      </c>
      <c r="B421" s="2" t="s">
        <v>1447</v>
      </c>
      <c r="C421" s="2" t="s">
        <v>695</v>
      </c>
      <c r="D421" s="2" t="s">
        <v>702</v>
      </c>
      <c r="E421" s="2">
        <v>298.14999999999998</v>
      </c>
    </row>
    <row r="422" spans="1:5" x14ac:dyDescent="0.25">
      <c r="A422" s="2" t="s">
        <v>1446</v>
      </c>
      <c r="B422" s="2" t="s">
        <v>1447</v>
      </c>
      <c r="C422" s="2" t="s">
        <v>695</v>
      </c>
      <c r="D422" s="2" t="s">
        <v>703</v>
      </c>
      <c r="E422" s="2">
        <v>298.14999999999998</v>
      </c>
    </row>
    <row r="423" spans="1:5" x14ac:dyDescent="0.25">
      <c r="A423" s="2" t="s">
        <v>1446</v>
      </c>
      <c r="B423" s="2" t="s">
        <v>1447</v>
      </c>
      <c r="C423" s="2" t="s">
        <v>695</v>
      </c>
      <c r="D423" s="2" t="s">
        <v>704</v>
      </c>
      <c r="E423" s="2">
        <v>298.14999999999998</v>
      </c>
    </row>
    <row r="424" spans="1:5" x14ac:dyDescent="0.25">
      <c r="A424" s="2" t="s">
        <v>1446</v>
      </c>
      <c r="B424" s="2" t="s">
        <v>1447</v>
      </c>
      <c r="C424" s="2" t="s">
        <v>695</v>
      </c>
      <c r="D424" s="2" t="s">
        <v>705</v>
      </c>
      <c r="E424" s="2">
        <v>298.14999999999998</v>
      </c>
    </row>
    <row r="425" spans="1:5" x14ac:dyDescent="0.25">
      <c r="A425" s="2" t="s">
        <v>1448</v>
      </c>
      <c r="B425" s="2" t="s">
        <v>1449</v>
      </c>
      <c r="C425" s="2" t="s">
        <v>691</v>
      </c>
      <c r="D425" s="2" t="s">
        <v>647</v>
      </c>
      <c r="E425" s="2">
        <v>145</v>
      </c>
    </row>
    <row r="426" spans="1:5" x14ac:dyDescent="0.25">
      <c r="A426" s="2" t="s">
        <v>1448</v>
      </c>
      <c r="B426" s="2" t="s">
        <v>1449</v>
      </c>
      <c r="C426" s="2" t="s">
        <v>691</v>
      </c>
      <c r="D426" s="2" t="s">
        <v>648</v>
      </c>
      <c r="E426" s="2">
        <v>175</v>
      </c>
    </row>
    <row r="427" spans="1:5" x14ac:dyDescent="0.25">
      <c r="A427" s="2" t="s">
        <v>1448</v>
      </c>
      <c r="B427" s="2" t="s">
        <v>1449</v>
      </c>
      <c r="C427" s="2" t="s">
        <v>691</v>
      </c>
      <c r="D427" s="2" t="s">
        <v>634</v>
      </c>
      <c r="E427" s="2">
        <v>215</v>
      </c>
    </row>
    <row r="428" spans="1:5" x14ac:dyDescent="0.25">
      <c r="A428" s="2" t="s">
        <v>1448</v>
      </c>
      <c r="B428" s="2" t="s">
        <v>1449</v>
      </c>
      <c r="C428" s="2" t="s">
        <v>691</v>
      </c>
      <c r="D428" s="2" t="s">
        <v>649</v>
      </c>
      <c r="E428" s="2">
        <v>215</v>
      </c>
    </row>
    <row r="429" spans="1:5" x14ac:dyDescent="0.25">
      <c r="A429" s="2" t="s">
        <v>1448</v>
      </c>
      <c r="B429" s="2" t="s">
        <v>1449</v>
      </c>
      <c r="C429" s="2" t="s">
        <v>691</v>
      </c>
      <c r="D429" s="2" t="s">
        <v>635</v>
      </c>
      <c r="E429" s="2">
        <v>245</v>
      </c>
    </row>
    <row r="430" spans="1:5" x14ac:dyDescent="0.25">
      <c r="A430" s="2" t="s">
        <v>1448</v>
      </c>
      <c r="B430" s="2" t="s">
        <v>1449</v>
      </c>
      <c r="C430" s="2" t="s">
        <v>691</v>
      </c>
      <c r="D430" s="2" t="s">
        <v>650</v>
      </c>
      <c r="E430" s="2">
        <v>245</v>
      </c>
    </row>
    <row r="431" spans="1:5" x14ac:dyDescent="0.25">
      <c r="A431" s="2" t="s">
        <v>1448</v>
      </c>
      <c r="B431" s="2" t="s">
        <v>1449</v>
      </c>
      <c r="C431" s="2" t="s">
        <v>691</v>
      </c>
      <c r="D431" s="2" t="s">
        <v>636</v>
      </c>
      <c r="E431" s="2">
        <v>280</v>
      </c>
    </row>
    <row r="432" spans="1:5" x14ac:dyDescent="0.25">
      <c r="A432" s="2" t="s">
        <v>1448</v>
      </c>
      <c r="B432" s="2" t="s">
        <v>1449</v>
      </c>
      <c r="C432" s="2" t="s">
        <v>691</v>
      </c>
      <c r="D432" s="2" t="s">
        <v>651</v>
      </c>
      <c r="E432" s="2">
        <v>280</v>
      </c>
    </row>
    <row r="433" spans="1:5" x14ac:dyDescent="0.25">
      <c r="A433" s="2" t="s">
        <v>1448</v>
      </c>
      <c r="B433" s="2" t="s">
        <v>1449</v>
      </c>
      <c r="C433" s="2" t="s">
        <v>694</v>
      </c>
      <c r="D433" s="2" t="s">
        <v>647</v>
      </c>
      <c r="E433" s="2">
        <v>145</v>
      </c>
    </row>
    <row r="434" spans="1:5" x14ac:dyDescent="0.25">
      <c r="A434" s="2" t="s">
        <v>1448</v>
      </c>
      <c r="B434" s="2" t="s">
        <v>1449</v>
      </c>
      <c r="C434" s="2" t="s">
        <v>694</v>
      </c>
      <c r="D434" s="2" t="s">
        <v>648</v>
      </c>
      <c r="E434" s="2">
        <v>175</v>
      </c>
    </row>
    <row r="435" spans="1:5" x14ac:dyDescent="0.25">
      <c r="A435" s="2" t="s">
        <v>1448</v>
      </c>
      <c r="B435" s="2" t="s">
        <v>1449</v>
      </c>
      <c r="C435" s="2" t="s">
        <v>694</v>
      </c>
      <c r="D435" s="2" t="s">
        <v>634</v>
      </c>
      <c r="E435" s="2">
        <v>215</v>
      </c>
    </row>
    <row r="436" spans="1:5" x14ac:dyDescent="0.25">
      <c r="A436" s="2" t="s">
        <v>1448</v>
      </c>
      <c r="B436" s="2" t="s">
        <v>1449</v>
      </c>
      <c r="C436" s="2" t="s">
        <v>694</v>
      </c>
      <c r="D436" s="2" t="s">
        <v>649</v>
      </c>
      <c r="E436" s="2">
        <v>215</v>
      </c>
    </row>
    <row r="437" spans="1:5" x14ac:dyDescent="0.25">
      <c r="A437" s="2" t="s">
        <v>1448</v>
      </c>
      <c r="B437" s="2" t="s">
        <v>1449</v>
      </c>
      <c r="C437" s="2" t="s">
        <v>694</v>
      </c>
      <c r="D437" s="2" t="s">
        <v>635</v>
      </c>
      <c r="E437" s="2">
        <v>245</v>
      </c>
    </row>
    <row r="438" spans="1:5" x14ac:dyDescent="0.25">
      <c r="A438" s="2" t="s">
        <v>1448</v>
      </c>
      <c r="B438" s="2" t="s">
        <v>1449</v>
      </c>
      <c r="C438" s="2" t="s">
        <v>694</v>
      </c>
      <c r="D438" s="2" t="s">
        <v>650</v>
      </c>
      <c r="E438" s="2">
        <v>245</v>
      </c>
    </row>
    <row r="439" spans="1:5" x14ac:dyDescent="0.25">
      <c r="A439" s="2" t="s">
        <v>1448</v>
      </c>
      <c r="B439" s="2" t="s">
        <v>1449</v>
      </c>
      <c r="C439" s="2" t="s">
        <v>694</v>
      </c>
      <c r="D439" s="2" t="s">
        <v>636</v>
      </c>
      <c r="E439" s="2">
        <v>280</v>
      </c>
    </row>
    <row r="440" spans="1:5" x14ac:dyDescent="0.25">
      <c r="A440" s="2" t="s">
        <v>1448</v>
      </c>
      <c r="B440" s="2" t="s">
        <v>1449</v>
      </c>
      <c r="C440" s="2" t="s">
        <v>694</v>
      </c>
      <c r="D440" s="2" t="s">
        <v>651</v>
      </c>
      <c r="E440" s="2">
        <v>280</v>
      </c>
    </row>
    <row r="441" spans="1:5" x14ac:dyDescent="0.25">
      <c r="A441" s="2" t="s">
        <v>1448</v>
      </c>
      <c r="B441" s="2" t="s">
        <v>1449</v>
      </c>
      <c r="C441" s="2" t="s">
        <v>695</v>
      </c>
      <c r="D441" s="2" t="s">
        <v>696</v>
      </c>
      <c r="E441" s="2">
        <v>325</v>
      </c>
    </row>
    <row r="442" spans="1:5" x14ac:dyDescent="0.25">
      <c r="A442" s="2" t="s">
        <v>1448</v>
      </c>
      <c r="B442" s="2" t="s">
        <v>1449</v>
      </c>
      <c r="C442" s="2" t="s">
        <v>695</v>
      </c>
      <c r="D442" s="2" t="s">
        <v>697</v>
      </c>
      <c r="E442" s="2">
        <v>325</v>
      </c>
    </row>
    <row r="443" spans="1:5" x14ac:dyDescent="0.25">
      <c r="A443" s="2" t="s">
        <v>1448</v>
      </c>
      <c r="B443" s="2" t="s">
        <v>1449</v>
      </c>
      <c r="C443" s="2" t="s">
        <v>695</v>
      </c>
      <c r="D443" s="2" t="s">
        <v>698</v>
      </c>
      <c r="E443" s="2">
        <v>325</v>
      </c>
    </row>
    <row r="444" spans="1:5" x14ac:dyDescent="0.25">
      <c r="A444" s="2" t="s">
        <v>1448</v>
      </c>
      <c r="B444" s="2" t="s">
        <v>1449</v>
      </c>
      <c r="C444" s="2" t="s">
        <v>695</v>
      </c>
      <c r="D444" s="2" t="s">
        <v>699</v>
      </c>
      <c r="E444" s="2">
        <v>325</v>
      </c>
    </row>
    <row r="445" spans="1:5" x14ac:dyDescent="0.25">
      <c r="A445" s="2" t="s">
        <v>1448</v>
      </c>
      <c r="B445" s="2" t="s">
        <v>1449</v>
      </c>
      <c r="C445" s="2" t="s">
        <v>695</v>
      </c>
      <c r="D445" s="2" t="s">
        <v>700</v>
      </c>
      <c r="E445" s="2">
        <v>325</v>
      </c>
    </row>
    <row r="446" spans="1:5" x14ac:dyDescent="0.25">
      <c r="A446" s="2" t="s">
        <v>1448</v>
      </c>
      <c r="B446" s="2" t="s">
        <v>1449</v>
      </c>
      <c r="C446" s="2" t="s">
        <v>695</v>
      </c>
      <c r="D446" s="2" t="s">
        <v>701</v>
      </c>
      <c r="E446" s="2">
        <v>325</v>
      </c>
    </row>
    <row r="447" spans="1:5" x14ac:dyDescent="0.25">
      <c r="A447" s="2" t="s">
        <v>1448</v>
      </c>
      <c r="B447" s="2" t="s">
        <v>1449</v>
      </c>
      <c r="C447" s="2" t="s">
        <v>695</v>
      </c>
      <c r="D447" s="2" t="s">
        <v>702</v>
      </c>
      <c r="E447" s="2">
        <v>325</v>
      </c>
    </row>
    <row r="448" spans="1:5" x14ac:dyDescent="0.25">
      <c r="A448" s="2" t="s">
        <v>1448</v>
      </c>
      <c r="B448" s="2" t="s">
        <v>1449</v>
      </c>
      <c r="C448" s="2" t="s">
        <v>695</v>
      </c>
      <c r="D448" s="2" t="s">
        <v>703</v>
      </c>
      <c r="E448" s="2">
        <v>325</v>
      </c>
    </row>
    <row r="449" spans="1:5" x14ac:dyDescent="0.25">
      <c r="A449" s="2" t="s">
        <v>1448</v>
      </c>
      <c r="B449" s="2" t="s">
        <v>1449</v>
      </c>
      <c r="C449" s="2" t="s">
        <v>695</v>
      </c>
      <c r="D449" s="2" t="s">
        <v>704</v>
      </c>
      <c r="E449" s="2">
        <v>325</v>
      </c>
    </row>
    <row r="450" spans="1:5" x14ac:dyDescent="0.25">
      <c r="A450" s="2" t="s">
        <v>1448</v>
      </c>
      <c r="B450" s="2" t="s">
        <v>1449</v>
      </c>
      <c r="C450" s="2" t="s">
        <v>695</v>
      </c>
      <c r="D450" s="2" t="s">
        <v>705</v>
      </c>
      <c r="E450" s="2">
        <v>325</v>
      </c>
    </row>
    <row r="451" spans="1:5" x14ac:dyDescent="0.25">
      <c r="A451" s="2" t="s">
        <v>1450</v>
      </c>
      <c r="B451" s="4" t="s">
        <v>1451</v>
      </c>
      <c r="C451" s="2" t="s">
        <v>603</v>
      </c>
      <c r="D451" s="2" t="s">
        <v>604</v>
      </c>
      <c r="E451" s="2">
        <v>60</v>
      </c>
    </row>
    <row r="452" spans="1:5" x14ac:dyDescent="0.25">
      <c r="A452" s="2" t="s">
        <v>1450</v>
      </c>
      <c r="B452" s="2" t="s">
        <v>1451</v>
      </c>
      <c r="C452" s="2" t="s">
        <v>603</v>
      </c>
      <c r="D452" s="2" t="s">
        <v>605</v>
      </c>
      <c r="E452" s="2">
        <v>75</v>
      </c>
    </row>
    <row r="453" spans="1:5" x14ac:dyDescent="0.25">
      <c r="A453" s="2" t="s">
        <v>1450</v>
      </c>
      <c r="B453" s="2" t="s">
        <v>1451</v>
      </c>
      <c r="C453" s="2" t="s">
        <v>603</v>
      </c>
      <c r="D453" s="2" t="s">
        <v>606</v>
      </c>
      <c r="E453" s="2">
        <v>115</v>
      </c>
    </row>
    <row r="454" spans="1:5" x14ac:dyDescent="0.25">
      <c r="A454" s="2" t="s">
        <v>1450</v>
      </c>
      <c r="B454" s="2" t="s">
        <v>1451</v>
      </c>
      <c r="C454" s="2" t="s">
        <v>603</v>
      </c>
      <c r="D454" s="2" t="s">
        <v>607</v>
      </c>
      <c r="E454" s="2">
        <v>130</v>
      </c>
    </row>
    <row r="455" spans="1:5" x14ac:dyDescent="0.25">
      <c r="A455" s="2" t="s">
        <v>1450</v>
      </c>
      <c r="B455" s="2" t="s">
        <v>1451</v>
      </c>
      <c r="C455" s="2" t="s">
        <v>603</v>
      </c>
      <c r="D455" s="2" t="s">
        <v>608</v>
      </c>
      <c r="E455" s="2">
        <v>170</v>
      </c>
    </row>
    <row r="456" spans="1:5" x14ac:dyDescent="0.25">
      <c r="A456" s="2" t="s">
        <v>1450</v>
      </c>
      <c r="B456" s="2" t="s">
        <v>1451</v>
      </c>
      <c r="C456" s="2" t="s">
        <v>603</v>
      </c>
      <c r="D456" s="2" t="s">
        <v>609</v>
      </c>
      <c r="E456" s="2">
        <v>215</v>
      </c>
    </row>
    <row r="457" spans="1:5" x14ac:dyDescent="0.25">
      <c r="A457" s="2" t="s">
        <v>1450</v>
      </c>
      <c r="B457" s="2" t="s">
        <v>1451</v>
      </c>
      <c r="C457" s="2" t="s">
        <v>603</v>
      </c>
      <c r="D457" s="2" t="s">
        <v>610</v>
      </c>
      <c r="E457" s="2">
        <v>234</v>
      </c>
    </row>
    <row r="458" spans="1:5" x14ac:dyDescent="0.25">
      <c r="A458" s="2" t="s">
        <v>1450</v>
      </c>
      <c r="B458" s="2" t="s">
        <v>1451</v>
      </c>
      <c r="C458" s="2" t="s">
        <v>603</v>
      </c>
      <c r="D458" s="2" t="s">
        <v>611</v>
      </c>
      <c r="E458" s="2">
        <v>289</v>
      </c>
    </row>
    <row r="459" spans="1:5" x14ac:dyDescent="0.25">
      <c r="A459" s="2" t="s">
        <v>1452</v>
      </c>
      <c r="B459" s="2" t="s">
        <v>1453</v>
      </c>
      <c r="C459" s="2" t="s">
        <v>691</v>
      </c>
      <c r="D459" s="2" t="s">
        <v>693</v>
      </c>
      <c r="E459" s="2">
        <v>80</v>
      </c>
    </row>
    <row r="460" spans="1:5" x14ac:dyDescent="0.25">
      <c r="A460" s="2" t="s">
        <v>1452</v>
      </c>
      <c r="B460" s="2" t="s">
        <v>1453</v>
      </c>
      <c r="C460" s="2" t="s">
        <v>691</v>
      </c>
      <c r="D460" s="2" t="s">
        <v>647</v>
      </c>
      <c r="E460" s="2">
        <v>168</v>
      </c>
    </row>
    <row r="461" spans="1:5" x14ac:dyDescent="0.25">
      <c r="A461" s="2" t="s">
        <v>1452</v>
      </c>
      <c r="B461" s="2" t="s">
        <v>1453</v>
      </c>
      <c r="C461" s="2" t="s">
        <v>691</v>
      </c>
      <c r="D461" s="2" t="s">
        <v>648</v>
      </c>
      <c r="E461" s="2">
        <v>195</v>
      </c>
    </row>
    <row r="462" spans="1:5" x14ac:dyDescent="0.25">
      <c r="A462" s="2" t="s">
        <v>1452</v>
      </c>
      <c r="B462" s="2" t="s">
        <v>1453</v>
      </c>
      <c r="C462" s="2" t="s">
        <v>691</v>
      </c>
      <c r="D462" s="2" t="s">
        <v>634</v>
      </c>
      <c r="E462" s="2">
        <v>245</v>
      </c>
    </row>
    <row r="463" spans="1:5" x14ac:dyDescent="0.25">
      <c r="A463" s="2" t="s">
        <v>1452</v>
      </c>
      <c r="B463" s="2" t="s">
        <v>1453</v>
      </c>
      <c r="C463" s="2" t="s">
        <v>691</v>
      </c>
      <c r="D463" s="2" t="s">
        <v>649</v>
      </c>
      <c r="E463" s="2">
        <v>245</v>
      </c>
    </row>
    <row r="464" spans="1:5" x14ac:dyDescent="0.25">
      <c r="A464" s="2" t="s">
        <v>1452</v>
      </c>
      <c r="B464" s="2" t="s">
        <v>1453</v>
      </c>
      <c r="C464" s="2" t="s">
        <v>691</v>
      </c>
      <c r="D464" s="2" t="s">
        <v>635</v>
      </c>
      <c r="E464" s="2">
        <v>285</v>
      </c>
    </row>
    <row r="465" spans="1:5" x14ac:dyDescent="0.25">
      <c r="A465" s="2" t="s">
        <v>1452</v>
      </c>
      <c r="B465" s="2" t="s">
        <v>1453</v>
      </c>
      <c r="C465" s="2" t="s">
        <v>691</v>
      </c>
      <c r="D465" s="2" t="s">
        <v>650</v>
      </c>
      <c r="E465" s="2">
        <v>285</v>
      </c>
    </row>
    <row r="466" spans="1:5" x14ac:dyDescent="0.25">
      <c r="A466" s="2" t="s">
        <v>1452</v>
      </c>
      <c r="B466" s="2" t="s">
        <v>1453</v>
      </c>
      <c r="C466" s="2" t="s">
        <v>691</v>
      </c>
      <c r="D466" s="2" t="s">
        <v>636</v>
      </c>
      <c r="E466" s="2">
        <v>300</v>
      </c>
    </row>
    <row r="467" spans="1:5" x14ac:dyDescent="0.25">
      <c r="A467" s="2" t="s">
        <v>1452</v>
      </c>
      <c r="B467" s="2" t="s">
        <v>1453</v>
      </c>
      <c r="C467" s="2" t="s">
        <v>691</v>
      </c>
      <c r="D467" s="2" t="s">
        <v>651</v>
      </c>
      <c r="E467" s="2">
        <v>300</v>
      </c>
    </row>
    <row r="468" spans="1:5" x14ac:dyDescent="0.25">
      <c r="A468" s="2" t="s">
        <v>1452</v>
      </c>
      <c r="B468" s="2" t="s">
        <v>1453</v>
      </c>
      <c r="C468" s="2" t="s">
        <v>694</v>
      </c>
      <c r="D468" s="2" t="s">
        <v>693</v>
      </c>
      <c r="E468" s="2">
        <v>80</v>
      </c>
    </row>
    <row r="469" spans="1:5" x14ac:dyDescent="0.25">
      <c r="A469" s="2" t="s">
        <v>1452</v>
      </c>
      <c r="B469" s="2" t="s">
        <v>1453</v>
      </c>
      <c r="C469" s="2" t="s">
        <v>694</v>
      </c>
      <c r="D469" s="2" t="s">
        <v>647</v>
      </c>
      <c r="E469" s="2">
        <v>168</v>
      </c>
    </row>
    <row r="470" spans="1:5" x14ac:dyDescent="0.25">
      <c r="A470" s="2" t="s">
        <v>1452</v>
      </c>
      <c r="B470" s="2" t="s">
        <v>1453</v>
      </c>
      <c r="C470" s="2" t="s">
        <v>694</v>
      </c>
      <c r="D470" s="2" t="s">
        <v>648</v>
      </c>
      <c r="E470" s="2">
        <v>195</v>
      </c>
    </row>
    <row r="471" spans="1:5" x14ac:dyDescent="0.25">
      <c r="A471" s="2" t="s">
        <v>1452</v>
      </c>
      <c r="B471" s="2" t="s">
        <v>1453</v>
      </c>
      <c r="C471" s="2" t="s">
        <v>694</v>
      </c>
      <c r="D471" s="2" t="s">
        <v>634</v>
      </c>
      <c r="E471" s="2">
        <v>245</v>
      </c>
    </row>
    <row r="472" spans="1:5" x14ac:dyDescent="0.25">
      <c r="A472" s="2" t="s">
        <v>1452</v>
      </c>
      <c r="B472" s="2" t="s">
        <v>1453</v>
      </c>
      <c r="C472" s="2" t="s">
        <v>694</v>
      </c>
      <c r="D472" s="2" t="s">
        <v>649</v>
      </c>
      <c r="E472" s="2">
        <v>245</v>
      </c>
    </row>
    <row r="473" spans="1:5" x14ac:dyDescent="0.25">
      <c r="A473" s="2" t="s">
        <v>1452</v>
      </c>
      <c r="B473" s="2" t="s">
        <v>1453</v>
      </c>
      <c r="C473" s="2" t="s">
        <v>694</v>
      </c>
      <c r="D473" s="2" t="s">
        <v>635</v>
      </c>
      <c r="E473" s="2">
        <v>285</v>
      </c>
    </row>
    <row r="474" spans="1:5" x14ac:dyDescent="0.25">
      <c r="A474" s="2" t="s">
        <v>1452</v>
      </c>
      <c r="B474" s="2" t="s">
        <v>1453</v>
      </c>
      <c r="C474" s="2" t="s">
        <v>694</v>
      </c>
      <c r="D474" s="2" t="s">
        <v>650</v>
      </c>
      <c r="E474" s="2">
        <v>285</v>
      </c>
    </row>
    <row r="475" spans="1:5" x14ac:dyDescent="0.25">
      <c r="A475" s="2" t="s">
        <v>1452</v>
      </c>
      <c r="B475" s="2" t="s">
        <v>1453</v>
      </c>
      <c r="C475" s="2" t="s">
        <v>694</v>
      </c>
      <c r="D475" s="2" t="s">
        <v>636</v>
      </c>
      <c r="E475" s="2">
        <v>300</v>
      </c>
    </row>
    <row r="476" spans="1:5" x14ac:dyDescent="0.25">
      <c r="A476" s="2" t="s">
        <v>1452</v>
      </c>
      <c r="B476" s="2" t="s">
        <v>1453</v>
      </c>
      <c r="C476" s="2" t="s">
        <v>694</v>
      </c>
      <c r="D476" s="2" t="s">
        <v>651</v>
      </c>
      <c r="E476" s="2">
        <v>300</v>
      </c>
    </row>
    <row r="477" spans="1:5" x14ac:dyDescent="0.25">
      <c r="A477" s="2" t="s">
        <v>1452</v>
      </c>
      <c r="B477" s="2" t="s">
        <v>1453</v>
      </c>
      <c r="C477" s="2" t="s">
        <v>695</v>
      </c>
      <c r="D477" s="2" t="s">
        <v>696</v>
      </c>
      <c r="E477" s="2">
        <v>375</v>
      </c>
    </row>
    <row r="478" spans="1:5" x14ac:dyDescent="0.25">
      <c r="A478" s="2" t="s">
        <v>1452</v>
      </c>
      <c r="B478" s="2" t="s">
        <v>1453</v>
      </c>
      <c r="C478" s="2" t="s">
        <v>695</v>
      </c>
      <c r="D478" s="2" t="s">
        <v>697</v>
      </c>
      <c r="E478" s="2">
        <v>375</v>
      </c>
    </row>
    <row r="479" spans="1:5" x14ac:dyDescent="0.25">
      <c r="A479" s="2" t="s">
        <v>1452</v>
      </c>
      <c r="B479" s="2" t="s">
        <v>1453</v>
      </c>
      <c r="C479" s="2" t="s">
        <v>695</v>
      </c>
      <c r="D479" s="2" t="s">
        <v>698</v>
      </c>
      <c r="E479" s="2">
        <v>375</v>
      </c>
    </row>
    <row r="480" spans="1:5" x14ac:dyDescent="0.25">
      <c r="A480" s="2" t="s">
        <v>1452</v>
      </c>
      <c r="B480" s="2" t="s">
        <v>1453</v>
      </c>
      <c r="C480" s="2" t="s">
        <v>695</v>
      </c>
      <c r="D480" s="2" t="s">
        <v>699</v>
      </c>
      <c r="E480" s="2">
        <v>375</v>
      </c>
    </row>
    <row r="481" spans="1:5" x14ac:dyDescent="0.25">
      <c r="A481" s="2" t="s">
        <v>1452</v>
      </c>
      <c r="B481" s="2" t="s">
        <v>1453</v>
      </c>
      <c r="C481" s="2" t="s">
        <v>695</v>
      </c>
      <c r="D481" s="2" t="s">
        <v>700</v>
      </c>
      <c r="E481" s="2">
        <v>375</v>
      </c>
    </row>
    <row r="482" spans="1:5" x14ac:dyDescent="0.25">
      <c r="A482" s="2" t="s">
        <v>1452</v>
      </c>
      <c r="B482" s="2" t="s">
        <v>1453</v>
      </c>
      <c r="C482" s="2" t="s">
        <v>695</v>
      </c>
      <c r="D482" s="2" t="s">
        <v>701</v>
      </c>
      <c r="E482" s="2">
        <v>375</v>
      </c>
    </row>
    <row r="483" spans="1:5" x14ac:dyDescent="0.25">
      <c r="A483" s="2" t="s">
        <v>1452</v>
      </c>
      <c r="B483" s="2" t="s">
        <v>1453</v>
      </c>
      <c r="C483" s="2" t="s">
        <v>695</v>
      </c>
      <c r="D483" s="2" t="s">
        <v>702</v>
      </c>
      <c r="E483" s="2">
        <v>375</v>
      </c>
    </row>
    <row r="484" spans="1:5" x14ac:dyDescent="0.25">
      <c r="A484" s="2" t="s">
        <v>1452</v>
      </c>
      <c r="B484" s="2" t="s">
        <v>1453</v>
      </c>
      <c r="C484" s="2" t="s">
        <v>695</v>
      </c>
      <c r="D484" s="2" t="s">
        <v>703</v>
      </c>
      <c r="E484" s="2">
        <v>375</v>
      </c>
    </row>
    <row r="485" spans="1:5" x14ac:dyDescent="0.25">
      <c r="A485" s="2" t="s">
        <v>1452</v>
      </c>
      <c r="B485" s="2" t="s">
        <v>1453</v>
      </c>
      <c r="C485" s="2" t="s">
        <v>695</v>
      </c>
      <c r="D485" s="2" t="s">
        <v>704</v>
      </c>
      <c r="E485" s="2">
        <v>375</v>
      </c>
    </row>
    <row r="486" spans="1:5" x14ac:dyDescent="0.25">
      <c r="A486" s="2" t="s">
        <v>1452</v>
      </c>
      <c r="B486" s="2" t="s">
        <v>1453</v>
      </c>
      <c r="C486" s="2" t="s">
        <v>695</v>
      </c>
      <c r="D486" s="2" t="s">
        <v>705</v>
      </c>
      <c r="E486" s="2">
        <v>375</v>
      </c>
    </row>
    <row r="487" spans="1:5" x14ac:dyDescent="0.25">
      <c r="A487" s="2" t="s">
        <v>1454</v>
      </c>
      <c r="B487" s="2" t="s">
        <v>1455</v>
      </c>
      <c r="C487" s="2" t="s">
        <v>603</v>
      </c>
      <c r="D487" s="2" t="s">
        <v>604</v>
      </c>
      <c r="E487" s="2">
        <v>90</v>
      </c>
    </row>
    <row r="488" spans="1:5" x14ac:dyDescent="0.25">
      <c r="A488" s="2" t="s">
        <v>1454</v>
      </c>
      <c r="B488" s="2" t="s">
        <v>1455</v>
      </c>
      <c r="C488" s="2" t="s">
        <v>603</v>
      </c>
      <c r="D488" s="2" t="s">
        <v>605</v>
      </c>
      <c r="E488" s="2">
        <v>165</v>
      </c>
    </row>
    <row r="489" spans="1:5" x14ac:dyDescent="0.25">
      <c r="A489" s="2" t="s">
        <v>1454</v>
      </c>
      <c r="B489" s="2" t="s">
        <v>1455</v>
      </c>
      <c r="C489" s="2" t="s">
        <v>603</v>
      </c>
      <c r="D489" s="2" t="s">
        <v>606</v>
      </c>
      <c r="E489" s="2">
        <v>185</v>
      </c>
    </row>
    <row r="490" spans="1:5" x14ac:dyDescent="0.25">
      <c r="A490" s="2" t="s">
        <v>1454</v>
      </c>
      <c r="B490" s="2" t="s">
        <v>1455</v>
      </c>
      <c r="C490" s="2" t="s">
        <v>603</v>
      </c>
      <c r="D490" s="2" t="s">
        <v>607</v>
      </c>
      <c r="E490" s="2">
        <v>220</v>
      </c>
    </row>
    <row r="491" spans="1:5" x14ac:dyDescent="0.25">
      <c r="A491" s="2" t="s">
        <v>1454</v>
      </c>
      <c r="B491" s="2" t="s">
        <v>1455</v>
      </c>
      <c r="C491" s="2" t="s">
        <v>603</v>
      </c>
      <c r="D491" s="2" t="s">
        <v>608</v>
      </c>
      <c r="E491" s="2">
        <v>240</v>
      </c>
    </row>
    <row r="492" spans="1:5" x14ac:dyDescent="0.25">
      <c r="A492" s="2" t="s">
        <v>1454</v>
      </c>
      <c r="B492" s="2" t="s">
        <v>1455</v>
      </c>
      <c r="C492" s="2" t="s">
        <v>603</v>
      </c>
      <c r="D492" s="2" t="s">
        <v>609</v>
      </c>
      <c r="E492" s="2">
        <v>270</v>
      </c>
    </row>
    <row r="493" spans="1:5" x14ac:dyDescent="0.25">
      <c r="A493" s="2" t="s">
        <v>1454</v>
      </c>
      <c r="B493" s="2" t="s">
        <v>1455</v>
      </c>
      <c r="C493" s="2" t="s">
        <v>603</v>
      </c>
      <c r="D493" s="2" t="s">
        <v>610</v>
      </c>
      <c r="E493" s="2">
        <v>300</v>
      </c>
    </row>
    <row r="494" spans="1:5" x14ac:dyDescent="0.25">
      <c r="A494" s="2" t="s">
        <v>1454</v>
      </c>
      <c r="B494" s="2" t="s">
        <v>1455</v>
      </c>
      <c r="C494" s="2" t="s">
        <v>603</v>
      </c>
      <c r="D494" s="2" t="s">
        <v>611</v>
      </c>
      <c r="E494" s="2">
        <v>330</v>
      </c>
    </row>
    <row r="495" spans="1:5" x14ac:dyDescent="0.25">
      <c r="A495" s="2" t="s">
        <v>1454</v>
      </c>
      <c r="B495" s="2" t="s">
        <v>1455</v>
      </c>
      <c r="C495" s="2" t="s">
        <v>603</v>
      </c>
      <c r="D495" s="2" t="s">
        <v>612</v>
      </c>
      <c r="E495" s="2">
        <v>360</v>
      </c>
    </row>
    <row r="496" spans="1:5" x14ac:dyDescent="0.25">
      <c r="A496" s="2" t="s">
        <v>1454</v>
      </c>
      <c r="B496" s="2" t="s">
        <v>1455</v>
      </c>
      <c r="C496" s="2" t="s">
        <v>603</v>
      </c>
      <c r="D496" s="2" t="s">
        <v>613</v>
      </c>
      <c r="E496" s="2">
        <v>395</v>
      </c>
    </row>
    <row r="497" spans="1:5" x14ac:dyDescent="0.25">
      <c r="A497" s="2" t="s">
        <v>1454</v>
      </c>
      <c r="B497" s="2" t="s">
        <v>1455</v>
      </c>
      <c r="C497" s="2" t="s">
        <v>603</v>
      </c>
      <c r="D497" s="2" t="s">
        <v>614</v>
      </c>
      <c r="E497" s="2">
        <v>425</v>
      </c>
    </row>
    <row r="498" spans="1:5" x14ac:dyDescent="0.25">
      <c r="A498" s="2" t="s">
        <v>1454</v>
      </c>
      <c r="B498" s="2" t="s">
        <v>1455</v>
      </c>
      <c r="C498" s="2" t="s">
        <v>603</v>
      </c>
      <c r="D498" s="2" t="s">
        <v>615</v>
      </c>
      <c r="E498" s="2">
        <v>475</v>
      </c>
    </row>
    <row r="499" spans="1:5" x14ac:dyDescent="0.25">
      <c r="A499" s="2" t="s">
        <v>1456</v>
      </c>
      <c r="B499" s="2" t="s">
        <v>1457</v>
      </c>
      <c r="C499" s="2" t="s">
        <v>691</v>
      </c>
      <c r="D499" s="2" t="s">
        <v>693</v>
      </c>
      <c r="E499" s="2">
        <v>45</v>
      </c>
    </row>
    <row r="500" spans="1:5" x14ac:dyDescent="0.25">
      <c r="A500" s="2" t="s">
        <v>1456</v>
      </c>
      <c r="B500" s="2" t="s">
        <v>1457</v>
      </c>
      <c r="C500" s="2" t="s">
        <v>691</v>
      </c>
      <c r="D500" s="2" t="s">
        <v>647</v>
      </c>
      <c r="E500" s="2">
        <v>142.5</v>
      </c>
    </row>
    <row r="501" spans="1:5" x14ac:dyDescent="0.25">
      <c r="A501" s="2" t="s">
        <v>1456</v>
      </c>
      <c r="B501" s="2" t="s">
        <v>1457</v>
      </c>
      <c r="C501" s="2" t="s">
        <v>691</v>
      </c>
      <c r="D501" s="2" t="s">
        <v>648</v>
      </c>
      <c r="E501" s="2">
        <v>165</v>
      </c>
    </row>
    <row r="502" spans="1:5" x14ac:dyDescent="0.25">
      <c r="A502" s="2" t="s">
        <v>1456</v>
      </c>
      <c r="B502" s="2" t="s">
        <v>1457</v>
      </c>
      <c r="C502" s="2" t="s">
        <v>691</v>
      </c>
      <c r="D502" s="2" t="s">
        <v>634</v>
      </c>
      <c r="E502" s="2">
        <v>206.25</v>
      </c>
    </row>
    <row r="503" spans="1:5" x14ac:dyDescent="0.25">
      <c r="A503" s="2" t="s">
        <v>1456</v>
      </c>
      <c r="B503" s="2" t="s">
        <v>1457</v>
      </c>
      <c r="C503" s="2" t="s">
        <v>691</v>
      </c>
      <c r="D503" s="2" t="s">
        <v>649</v>
      </c>
      <c r="E503" s="2">
        <v>206.25</v>
      </c>
    </row>
    <row r="504" spans="1:5" x14ac:dyDescent="0.25">
      <c r="A504" s="2" t="s">
        <v>1456</v>
      </c>
      <c r="B504" s="2" t="s">
        <v>1457</v>
      </c>
      <c r="C504" s="2" t="s">
        <v>694</v>
      </c>
      <c r="D504" s="2" t="s">
        <v>693</v>
      </c>
      <c r="E504" s="2">
        <v>45</v>
      </c>
    </row>
    <row r="505" spans="1:5" x14ac:dyDescent="0.25">
      <c r="A505" s="2" t="s">
        <v>1456</v>
      </c>
      <c r="B505" s="2" t="s">
        <v>1457</v>
      </c>
      <c r="C505" s="2" t="s">
        <v>694</v>
      </c>
      <c r="D505" s="2" t="s">
        <v>647</v>
      </c>
      <c r="E505" s="2">
        <v>142.5</v>
      </c>
    </row>
    <row r="506" spans="1:5" x14ac:dyDescent="0.25">
      <c r="A506" s="2" t="s">
        <v>1456</v>
      </c>
      <c r="B506" s="2" t="s">
        <v>1457</v>
      </c>
      <c r="C506" s="2" t="s">
        <v>694</v>
      </c>
      <c r="D506" s="2" t="s">
        <v>648</v>
      </c>
      <c r="E506" s="2">
        <v>165</v>
      </c>
    </row>
    <row r="507" spans="1:5" x14ac:dyDescent="0.25">
      <c r="A507" s="2" t="s">
        <v>1456</v>
      </c>
      <c r="B507" s="2" t="s">
        <v>1457</v>
      </c>
      <c r="C507" s="2" t="s">
        <v>694</v>
      </c>
      <c r="D507" s="2" t="s">
        <v>634</v>
      </c>
      <c r="E507" s="2">
        <v>206.25</v>
      </c>
    </row>
    <row r="508" spans="1:5" x14ac:dyDescent="0.25">
      <c r="A508" s="2" t="s">
        <v>1456</v>
      </c>
      <c r="B508" s="2" t="s">
        <v>1457</v>
      </c>
      <c r="C508" s="2" t="s">
        <v>694</v>
      </c>
      <c r="D508" s="2" t="s">
        <v>649</v>
      </c>
      <c r="E508" s="2">
        <v>206.25</v>
      </c>
    </row>
    <row r="509" spans="1:5" x14ac:dyDescent="0.25">
      <c r="A509" s="2" t="s">
        <v>1456</v>
      </c>
      <c r="B509" s="2" t="s">
        <v>1457</v>
      </c>
      <c r="C509" s="2" t="s">
        <v>695</v>
      </c>
      <c r="D509" s="2" t="s">
        <v>696</v>
      </c>
      <c r="E509" s="2">
        <v>259</v>
      </c>
    </row>
    <row r="510" spans="1:5" x14ac:dyDescent="0.25">
      <c r="A510" s="2" t="s">
        <v>1456</v>
      </c>
      <c r="B510" s="2" t="s">
        <v>1457</v>
      </c>
      <c r="C510" s="2" t="s">
        <v>695</v>
      </c>
      <c r="D510" s="2" t="s">
        <v>697</v>
      </c>
      <c r="E510" s="2">
        <v>259</v>
      </c>
    </row>
    <row r="511" spans="1:5" x14ac:dyDescent="0.25">
      <c r="A511" s="2" t="s">
        <v>1456</v>
      </c>
      <c r="B511" s="2" t="s">
        <v>1457</v>
      </c>
      <c r="C511" s="2" t="s">
        <v>695</v>
      </c>
      <c r="D511" s="2" t="s">
        <v>698</v>
      </c>
      <c r="E511" s="2">
        <v>259</v>
      </c>
    </row>
    <row r="512" spans="1:5" x14ac:dyDescent="0.25">
      <c r="A512" s="2" t="s">
        <v>1456</v>
      </c>
      <c r="B512" s="2" t="s">
        <v>1457</v>
      </c>
      <c r="C512" s="2" t="s">
        <v>695</v>
      </c>
      <c r="D512" s="2" t="s">
        <v>699</v>
      </c>
      <c r="E512" s="2">
        <v>259</v>
      </c>
    </row>
    <row r="513" spans="1:5" x14ac:dyDescent="0.25">
      <c r="A513" s="2" t="s">
        <v>1456</v>
      </c>
      <c r="B513" s="2" t="s">
        <v>1457</v>
      </c>
      <c r="C513" s="2" t="s">
        <v>695</v>
      </c>
      <c r="D513" s="2" t="s">
        <v>700</v>
      </c>
      <c r="E513" s="2">
        <v>259</v>
      </c>
    </row>
    <row r="514" spans="1:5" x14ac:dyDescent="0.25">
      <c r="A514" s="2" t="s">
        <v>1456</v>
      </c>
      <c r="B514" s="2" t="s">
        <v>1457</v>
      </c>
      <c r="C514" s="2" t="s">
        <v>695</v>
      </c>
      <c r="D514" s="2" t="s">
        <v>701</v>
      </c>
      <c r="E514" s="2">
        <v>259</v>
      </c>
    </row>
    <row r="515" spans="1:5" x14ac:dyDescent="0.25">
      <c r="A515" s="2" t="s">
        <v>1456</v>
      </c>
      <c r="B515" s="2" t="s">
        <v>1457</v>
      </c>
      <c r="C515" s="2" t="s">
        <v>695</v>
      </c>
      <c r="D515" s="2" t="s">
        <v>702</v>
      </c>
      <c r="E515" s="2">
        <v>259</v>
      </c>
    </row>
    <row r="516" spans="1:5" x14ac:dyDescent="0.25">
      <c r="A516" s="2" t="s">
        <v>1456</v>
      </c>
      <c r="B516" s="2" t="s">
        <v>1457</v>
      </c>
      <c r="C516" s="2" t="s">
        <v>695</v>
      </c>
      <c r="D516" s="2" t="s">
        <v>703</v>
      </c>
      <c r="E516" s="2">
        <v>259</v>
      </c>
    </row>
    <row r="517" spans="1:5" x14ac:dyDescent="0.25">
      <c r="A517" s="2" t="s">
        <v>1456</v>
      </c>
      <c r="B517" s="2" t="s">
        <v>1457</v>
      </c>
      <c r="C517" s="2" t="s">
        <v>695</v>
      </c>
      <c r="D517" s="2" t="s">
        <v>704</v>
      </c>
      <c r="E517" s="2">
        <v>259</v>
      </c>
    </row>
    <row r="518" spans="1:5" x14ac:dyDescent="0.25">
      <c r="A518" s="2" t="s">
        <v>1456</v>
      </c>
      <c r="B518" s="2" t="s">
        <v>1457</v>
      </c>
      <c r="C518" s="2" t="s">
        <v>695</v>
      </c>
      <c r="D518" s="2" t="s">
        <v>705</v>
      </c>
      <c r="E518" s="2">
        <v>259</v>
      </c>
    </row>
    <row r="519" spans="1:5" x14ac:dyDescent="0.25">
      <c r="A519" s="2" t="s">
        <v>1458</v>
      </c>
      <c r="B519" s="2" t="s">
        <v>1459</v>
      </c>
      <c r="C519" s="2" t="s">
        <v>691</v>
      </c>
      <c r="D519" s="2" t="s">
        <v>693</v>
      </c>
      <c r="E519" s="2">
        <v>90</v>
      </c>
    </row>
    <row r="520" spans="1:5" x14ac:dyDescent="0.25">
      <c r="A520" s="2" t="s">
        <v>1458</v>
      </c>
      <c r="B520" s="2" t="s">
        <v>1459</v>
      </c>
      <c r="C520" s="2" t="s">
        <v>691</v>
      </c>
      <c r="D520" s="2" t="s">
        <v>647</v>
      </c>
      <c r="E520" s="2">
        <v>160</v>
      </c>
    </row>
    <row r="521" spans="1:5" x14ac:dyDescent="0.25">
      <c r="A521" s="2" t="s">
        <v>1458</v>
      </c>
      <c r="B521" s="2" t="s">
        <v>1459</v>
      </c>
      <c r="C521" s="2" t="s">
        <v>691</v>
      </c>
      <c r="D521" s="2" t="s">
        <v>648</v>
      </c>
      <c r="E521" s="2">
        <v>160</v>
      </c>
    </row>
    <row r="522" spans="1:5" x14ac:dyDescent="0.25">
      <c r="A522" s="2" t="s">
        <v>1458</v>
      </c>
      <c r="B522" s="2" t="s">
        <v>1459</v>
      </c>
      <c r="C522" s="2" t="s">
        <v>691</v>
      </c>
      <c r="D522" s="2" t="s">
        <v>634</v>
      </c>
      <c r="E522" s="2">
        <v>225</v>
      </c>
    </row>
    <row r="523" spans="1:5" x14ac:dyDescent="0.25">
      <c r="A523" s="2" t="s">
        <v>1458</v>
      </c>
      <c r="B523" s="2" t="s">
        <v>1459</v>
      </c>
      <c r="C523" s="2" t="s">
        <v>691</v>
      </c>
      <c r="D523" s="2" t="s">
        <v>649</v>
      </c>
      <c r="E523" s="2">
        <v>225</v>
      </c>
    </row>
    <row r="524" spans="1:5" x14ac:dyDescent="0.25">
      <c r="A524" s="2" t="s">
        <v>1458</v>
      </c>
      <c r="B524" s="2" t="s">
        <v>1459</v>
      </c>
      <c r="C524" s="2" t="s">
        <v>691</v>
      </c>
      <c r="D524" s="2" t="s">
        <v>635</v>
      </c>
      <c r="E524" s="2">
        <v>300</v>
      </c>
    </row>
    <row r="525" spans="1:5" x14ac:dyDescent="0.25">
      <c r="A525" s="2" t="s">
        <v>1458</v>
      </c>
      <c r="B525" s="2" t="s">
        <v>1459</v>
      </c>
      <c r="C525" s="2" t="s">
        <v>691</v>
      </c>
      <c r="D525" s="2" t="s">
        <v>650</v>
      </c>
      <c r="E525" s="2">
        <v>300</v>
      </c>
    </row>
    <row r="526" spans="1:5" x14ac:dyDescent="0.25">
      <c r="A526" s="2" t="s">
        <v>1458</v>
      </c>
      <c r="B526" s="2" t="s">
        <v>1459</v>
      </c>
      <c r="C526" s="2" t="s">
        <v>691</v>
      </c>
      <c r="D526" s="2" t="s">
        <v>636</v>
      </c>
      <c r="E526" s="2">
        <v>350</v>
      </c>
    </row>
    <row r="527" spans="1:5" x14ac:dyDescent="0.25">
      <c r="A527" s="2" t="s">
        <v>1458</v>
      </c>
      <c r="B527" s="2" t="s">
        <v>1459</v>
      </c>
      <c r="C527" s="2" t="s">
        <v>691</v>
      </c>
      <c r="D527" s="2" t="s">
        <v>651</v>
      </c>
      <c r="E527" s="2">
        <v>350</v>
      </c>
    </row>
    <row r="528" spans="1:5" x14ac:dyDescent="0.25">
      <c r="A528" s="2" t="s">
        <v>1458</v>
      </c>
      <c r="B528" s="2" t="s">
        <v>1459</v>
      </c>
      <c r="C528" s="2" t="s">
        <v>694</v>
      </c>
      <c r="D528" s="2" t="s">
        <v>693</v>
      </c>
      <c r="E528" s="2">
        <v>90</v>
      </c>
    </row>
    <row r="529" spans="1:5" x14ac:dyDescent="0.25">
      <c r="A529" s="2" t="s">
        <v>1458</v>
      </c>
      <c r="B529" s="2" t="s">
        <v>1459</v>
      </c>
      <c r="C529" s="2" t="s">
        <v>694</v>
      </c>
      <c r="D529" s="2" t="s">
        <v>647</v>
      </c>
      <c r="E529" s="2">
        <v>160</v>
      </c>
    </row>
    <row r="530" spans="1:5" x14ac:dyDescent="0.25">
      <c r="A530" s="2" t="s">
        <v>1458</v>
      </c>
      <c r="B530" s="2" t="s">
        <v>1459</v>
      </c>
      <c r="C530" s="2" t="s">
        <v>694</v>
      </c>
      <c r="D530" s="2" t="s">
        <v>648</v>
      </c>
      <c r="E530" s="2">
        <v>160</v>
      </c>
    </row>
    <row r="531" spans="1:5" x14ac:dyDescent="0.25">
      <c r="A531" s="2" t="s">
        <v>1458</v>
      </c>
      <c r="B531" s="2" t="s">
        <v>1459</v>
      </c>
      <c r="C531" s="2" t="s">
        <v>694</v>
      </c>
      <c r="D531" s="2" t="s">
        <v>634</v>
      </c>
      <c r="E531" s="2">
        <v>225</v>
      </c>
    </row>
    <row r="532" spans="1:5" x14ac:dyDescent="0.25">
      <c r="A532" s="2" t="s">
        <v>1458</v>
      </c>
      <c r="B532" s="2" t="s">
        <v>1459</v>
      </c>
      <c r="C532" s="2" t="s">
        <v>694</v>
      </c>
      <c r="D532" s="2" t="s">
        <v>649</v>
      </c>
      <c r="E532" s="2">
        <v>225</v>
      </c>
    </row>
    <row r="533" spans="1:5" x14ac:dyDescent="0.25">
      <c r="A533" s="2" t="s">
        <v>1458</v>
      </c>
      <c r="B533" s="2" t="s">
        <v>1459</v>
      </c>
      <c r="C533" s="2" t="s">
        <v>694</v>
      </c>
      <c r="D533" s="2" t="s">
        <v>635</v>
      </c>
      <c r="E533" s="2">
        <v>300</v>
      </c>
    </row>
    <row r="534" spans="1:5" x14ac:dyDescent="0.25">
      <c r="A534" s="2" t="s">
        <v>1458</v>
      </c>
      <c r="B534" s="2" t="s">
        <v>1459</v>
      </c>
      <c r="C534" s="2" t="s">
        <v>694</v>
      </c>
      <c r="D534" s="2" t="s">
        <v>650</v>
      </c>
      <c r="E534" s="2">
        <v>300</v>
      </c>
    </row>
    <row r="535" spans="1:5" x14ac:dyDescent="0.25">
      <c r="A535" s="2" t="s">
        <v>1458</v>
      </c>
      <c r="B535" s="2" t="s">
        <v>1459</v>
      </c>
      <c r="C535" s="2" t="s">
        <v>694</v>
      </c>
      <c r="D535" s="2" t="s">
        <v>636</v>
      </c>
      <c r="E535" s="2">
        <v>350</v>
      </c>
    </row>
    <row r="536" spans="1:5" x14ac:dyDescent="0.25">
      <c r="A536" s="2" t="s">
        <v>1458</v>
      </c>
      <c r="B536" s="2" t="s">
        <v>1459</v>
      </c>
      <c r="C536" s="2" t="s">
        <v>694</v>
      </c>
      <c r="D536" s="2" t="s">
        <v>651</v>
      </c>
      <c r="E536" s="2">
        <v>350</v>
      </c>
    </row>
    <row r="537" spans="1:5" x14ac:dyDescent="0.25">
      <c r="A537" s="2" t="s">
        <v>1458</v>
      </c>
      <c r="B537" s="2" t="s">
        <v>1459</v>
      </c>
      <c r="C537" s="2" t="s">
        <v>695</v>
      </c>
      <c r="D537" s="2" t="s">
        <v>696</v>
      </c>
      <c r="E537" s="2">
        <v>415</v>
      </c>
    </row>
    <row r="538" spans="1:5" x14ac:dyDescent="0.25">
      <c r="A538" s="2" t="s">
        <v>1458</v>
      </c>
      <c r="B538" s="2" t="s">
        <v>1459</v>
      </c>
      <c r="C538" s="2" t="s">
        <v>695</v>
      </c>
      <c r="D538" s="2" t="s">
        <v>697</v>
      </c>
      <c r="E538" s="2">
        <v>415</v>
      </c>
    </row>
    <row r="539" spans="1:5" x14ac:dyDescent="0.25">
      <c r="A539" s="2" t="s">
        <v>1458</v>
      </c>
      <c r="B539" s="2" t="s">
        <v>1459</v>
      </c>
      <c r="C539" s="2" t="s">
        <v>695</v>
      </c>
      <c r="D539" s="2" t="s">
        <v>698</v>
      </c>
      <c r="E539" s="2">
        <v>415</v>
      </c>
    </row>
    <row r="540" spans="1:5" x14ac:dyDescent="0.25">
      <c r="A540" s="2" t="s">
        <v>1458</v>
      </c>
      <c r="B540" s="2" t="s">
        <v>1459</v>
      </c>
      <c r="C540" s="2" t="s">
        <v>695</v>
      </c>
      <c r="D540" s="2" t="s">
        <v>699</v>
      </c>
      <c r="E540" s="2">
        <v>415</v>
      </c>
    </row>
    <row r="541" spans="1:5" x14ac:dyDescent="0.25">
      <c r="A541" s="2" t="s">
        <v>1458</v>
      </c>
      <c r="B541" s="2" t="s">
        <v>1459</v>
      </c>
      <c r="C541" s="2" t="s">
        <v>695</v>
      </c>
      <c r="D541" s="2" t="s">
        <v>700</v>
      </c>
      <c r="E541" s="2">
        <v>415</v>
      </c>
    </row>
    <row r="542" spans="1:5" x14ac:dyDescent="0.25">
      <c r="A542" s="2" t="s">
        <v>1458</v>
      </c>
      <c r="B542" s="2" t="s">
        <v>1459</v>
      </c>
      <c r="C542" s="2" t="s">
        <v>695</v>
      </c>
      <c r="D542" s="2" t="s">
        <v>701</v>
      </c>
      <c r="E542" s="2">
        <v>415</v>
      </c>
    </row>
    <row r="543" spans="1:5" x14ac:dyDescent="0.25">
      <c r="A543" s="2" t="s">
        <v>1458</v>
      </c>
      <c r="B543" s="2" t="s">
        <v>1459</v>
      </c>
      <c r="C543" s="2" t="s">
        <v>695</v>
      </c>
      <c r="D543" s="2" t="s">
        <v>702</v>
      </c>
      <c r="E543" s="2">
        <v>415</v>
      </c>
    </row>
    <row r="544" spans="1:5" x14ac:dyDescent="0.25">
      <c r="A544" s="2" t="s">
        <v>1458</v>
      </c>
      <c r="B544" s="2" t="s">
        <v>1459</v>
      </c>
      <c r="C544" s="2" t="s">
        <v>695</v>
      </c>
      <c r="D544" s="2" t="s">
        <v>703</v>
      </c>
      <c r="E544" s="2">
        <v>415</v>
      </c>
    </row>
    <row r="545" spans="1:5" x14ac:dyDescent="0.25">
      <c r="A545" s="2" t="s">
        <v>1458</v>
      </c>
      <c r="B545" s="2" t="s">
        <v>1459</v>
      </c>
      <c r="C545" s="2" t="s">
        <v>695</v>
      </c>
      <c r="D545" s="2" t="s">
        <v>704</v>
      </c>
      <c r="E545" s="2">
        <v>415</v>
      </c>
    </row>
    <row r="546" spans="1:5" x14ac:dyDescent="0.25">
      <c r="A546" s="2" t="s">
        <v>1458</v>
      </c>
      <c r="B546" s="2" t="s">
        <v>1459</v>
      </c>
      <c r="C546" s="2" t="s">
        <v>695</v>
      </c>
      <c r="D546" s="2" t="s">
        <v>705</v>
      </c>
      <c r="E546" s="2">
        <v>415</v>
      </c>
    </row>
    <row r="547" spans="1:5" x14ac:dyDescent="0.25">
      <c r="A547" s="2" t="s">
        <v>1460</v>
      </c>
      <c r="B547" s="2" t="s">
        <v>1461</v>
      </c>
      <c r="C547" s="2" t="s">
        <v>603</v>
      </c>
      <c r="D547" s="2" t="s">
        <v>604</v>
      </c>
      <c r="E547" s="2">
        <v>32</v>
      </c>
    </row>
    <row r="548" spans="1:5" x14ac:dyDescent="0.25">
      <c r="A548" s="2" t="s">
        <v>1460</v>
      </c>
      <c r="B548" s="2" t="s">
        <v>1461</v>
      </c>
      <c r="C548" s="2" t="s">
        <v>603</v>
      </c>
      <c r="D548" s="2" t="s">
        <v>605</v>
      </c>
      <c r="E548" s="2">
        <v>32</v>
      </c>
    </row>
    <row r="549" spans="1:5" x14ac:dyDescent="0.25">
      <c r="A549" s="2" t="s">
        <v>1460</v>
      </c>
      <c r="B549" s="2" t="s">
        <v>1461</v>
      </c>
      <c r="C549" s="2" t="s">
        <v>603</v>
      </c>
      <c r="D549" s="2" t="s">
        <v>606</v>
      </c>
      <c r="E549" s="2">
        <v>36</v>
      </c>
    </row>
    <row r="550" spans="1:5" x14ac:dyDescent="0.25">
      <c r="A550" s="2" t="s">
        <v>1460</v>
      </c>
      <c r="B550" s="2" t="s">
        <v>1461</v>
      </c>
      <c r="C550" s="2" t="s">
        <v>603</v>
      </c>
      <c r="D550" s="2" t="s">
        <v>607</v>
      </c>
      <c r="E550" s="2">
        <v>36</v>
      </c>
    </row>
    <row r="551" spans="1:5" x14ac:dyDescent="0.25">
      <c r="A551" s="2" t="s">
        <v>1460</v>
      </c>
      <c r="B551" s="2" t="s">
        <v>1461</v>
      </c>
      <c r="C551" s="2" t="s">
        <v>603</v>
      </c>
      <c r="D551" s="2" t="s">
        <v>608</v>
      </c>
      <c r="E551" s="2">
        <v>55</v>
      </c>
    </row>
    <row r="552" spans="1:5" x14ac:dyDescent="0.25">
      <c r="A552" s="2" t="s">
        <v>1460</v>
      </c>
      <c r="B552" s="2" t="s">
        <v>1461</v>
      </c>
      <c r="C552" s="2" t="s">
        <v>603</v>
      </c>
      <c r="D552" s="2" t="s">
        <v>609</v>
      </c>
      <c r="E552" s="2">
        <v>61</v>
      </c>
    </row>
    <row r="553" spans="1:5" x14ac:dyDescent="0.25">
      <c r="A553" s="2" t="s">
        <v>1460</v>
      </c>
      <c r="B553" s="2" t="s">
        <v>1461</v>
      </c>
      <c r="C553" s="2" t="s">
        <v>603</v>
      </c>
      <c r="D553" s="2" t="s">
        <v>610</v>
      </c>
      <c r="E553" s="2">
        <v>69</v>
      </c>
    </row>
    <row r="554" spans="1:5" x14ac:dyDescent="0.25">
      <c r="A554" s="2" t="s">
        <v>1460</v>
      </c>
      <c r="B554" s="2" t="s">
        <v>1461</v>
      </c>
      <c r="C554" s="2" t="s">
        <v>603</v>
      </c>
      <c r="D554" s="2" t="s">
        <v>611</v>
      </c>
      <c r="E554" s="2">
        <v>145</v>
      </c>
    </row>
    <row r="555" spans="1:5" x14ac:dyDescent="0.25">
      <c r="A555" s="2" t="s">
        <v>1462</v>
      </c>
      <c r="B555" s="2" t="s">
        <v>1463</v>
      </c>
      <c r="C555" s="2" t="s">
        <v>603</v>
      </c>
      <c r="D555" s="2" t="s">
        <v>604</v>
      </c>
      <c r="E555" s="2">
        <v>95</v>
      </c>
    </row>
    <row r="556" spans="1:5" x14ac:dyDescent="0.25">
      <c r="A556" s="2" t="s">
        <v>1462</v>
      </c>
      <c r="B556" s="2" t="s">
        <v>1463</v>
      </c>
      <c r="C556" s="2" t="s">
        <v>603</v>
      </c>
      <c r="D556" s="2" t="s">
        <v>605</v>
      </c>
      <c r="E556" s="2">
        <v>139</v>
      </c>
    </row>
    <row r="557" spans="1:5" x14ac:dyDescent="0.25">
      <c r="A557" s="2" t="s">
        <v>1462</v>
      </c>
      <c r="B557" s="2" t="s">
        <v>1463</v>
      </c>
      <c r="C557" s="2" t="s">
        <v>603</v>
      </c>
      <c r="D557" s="2" t="s">
        <v>606</v>
      </c>
      <c r="E557" s="2">
        <v>154</v>
      </c>
    </row>
    <row r="558" spans="1:5" x14ac:dyDescent="0.25">
      <c r="A558" s="2" t="s">
        <v>1462</v>
      </c>
      <c r="B558" s="2" t="s">
        <v>1463</v>
      </c>
      <c r="C558" s="2" t="s">
        <v>603</v>
      </c>
      <c r="D558" s="2" t="s">
        <v>607</v>
      </c>
      <c r="E558" s="2">
        <v>190</v>
      </c>
    </row>
    <row r="559" spans="1:5" x14ac:dyDescent="0.25">
      <c r="A559" s="2" t="s">
        <v>1462</v>
      </c>
      <c r="B559" s="2" t="s">
        <v>1463</v>
      </c>
      <c r="C559" s="2" t="s">
        <v>603</v>
      </c>
      <c r="D559" s="2" t="s">
        <v>608</v>
      </c>
      <c r="E559" s="2">
        <v>221</v>
      </c>
    </row>
    <row r="560" spans="1:5" x14ac:dyDescent="0.25">
      <c r="A560" s="2" t="s">
        <v>1462</v>
      </c>
      <c r="B560" s="2" t="s">
        <v>1463</v>
      </c>
      <c r="C560" s="2" t="s">
        <v>603</v>
      </c>
      <c r="D560" s="2" t="s">
        <v>609</v>
      </c>
      <c r="E560" s="2">
        <v>257</v>
      </c>
    </row>
    <row r="561" spans="1:5" x14ac:dyDescent="0.25">
      <c r="A561" s="2" t="s">
        <v>1462</v>
      </c>
      <c r="B561" s="2" t="s">
        <v>1463</v>
      </c>
      <c r="C561" s="2" t="s">
        <v>603</v>
      </c>
      <c r="D561" s="2" t="s">
        <v>610</v>
      </c>
      <c r="E561" s="2">
        <v>283</v>
      </c>
    </row>
    <row r="562" spans="1:5" x14ac:dyDescent="0.25">
      <c r="A562" s="2" t="s">
        <v>1464</v>
      </c>
      <c r="B562" s="2" t="s">
        <v>1465</v>
      </c>
      <c r="C562" s="2" t="s">
        <v>629</v>
      </c>
      <c r="D562" s="2" t="s">
        <v>630</v>
      </c>
      <c r="E562" s="2">
        <v>23</v>
      </c>
    </row>
    <row r="563" spans="1:5" x14ac:dyDescent="0.25">
      <c r="A563" s="2" t="s">
        <v>1464</v>
      </c>
      <c r="B563" s="2" t="s">
        <v>1465</v>
      </c>
      <c r="C563" s="2" t="s">
        <v>629</v>
      </c>
      <c r="D563" s="2" t="s">
        <v>631</v>
      </c>
      <c r="E563" s="2">
        <v>42</v>
      </c>
    </row>
    <row r="564" spans="1:5" x14ac:dyDescent="0.25">
      <c r="A564" s="2" t="s">
        <v>1464</v>
      </c>
      <c r="B564" s="2" t="s">
        <v>1465</v>
      </c>
      <c r="C564" s="2" t="s">
        <v>629</v>
      </c>
      <c r="D564" s="2" t="s">
        <v>632</v>
      </c>
      <c r="E564" s="2">
        <v>73</v>
      </c>
    </row>
    <row r="565" spans="1:5" x14ac:dyDescent="0.25">
      <c r="A565" s="2" t="s">
        <v>1464</v>
      </c>
      <c r="B565" s="2" t="s">
        <v>1465</v>
      </c>
      <c r="C565" s="2" t="s">
        <v>629</v>
      </c>
      <c r="D565" s="2" t="s">
        <v>633</v>
      </c>
      <c r="E565" s="2">
        <v>82</v>
      </c>
    </row>
    <row r="566" spans="1:5" x14ac:dyDescent="0.25">
      <c r="A566" s="2" t="s">
        <v>1464</v>
      </c>
      <c r="B566" s="2" t="s">
        <v>1465</v>
      </c>
      <c r="C566" s="2" t="s">
        <v>629</v>
      </c>
      <c r="D566" s="2" t="s">
        <v>635</v>
      </c>
      <c r="E566" s="2">
        <v>88</v>
      </c>
    </row>
    <row r="567" spans="1:5" x14ac:dyDescent="0.25">
      <c r="A567" s="2" t="s">
        <v>1464</v>
      </c>
      <c r="B567" s="2" t="s">
        <v>1465</v>
      </c>
      <c r="C567" s="2" t="s">
        <v>629</v>
      </c>
      <c r="D567" s="2" t="s">
        <v>636</v>
      </c>
      <c r="E567" s="2">
        <v>108</v>
      </c>
    </row>
    <row r="568" spans="1:5" x14ac:dyDescent="0.25">
      <c r="A568" s="2" t="s">
        <v>1464</v>
      </c>
      <c r="B568" s="2" t="s">
        <v>1465</v>
      </c>
      <c r="C568" s="2" t="s">
        <v>638</v>
      </c>
      <c r="D568" s="2" t="s">
        <v>630</v>
      </c>
      <c r="E568" s="2">
        <v>23</v>
      </c>
    </row>
    <row r="569" spans="1:5" x14ac:dyDescent="0.25">
      <c r="A569" s="2" t="s">
        <v>1464</v>
      </c>
      <c r="B569" s="2" t="s">
        <v>1465</v>
      </c>
      <c r="C569" s="2" t="s">
        <v>638</v>
      </c>
      <c r="D569" s="2" t="s">
        <v>631</v>
      </c>
      <c r="E569" s="2">
        <v>42</v>
      </c>
    </row>
    <row r="570" spans="1:5" x14ac:dyDescent="0.25">
      <c r="A570" s="2" t="s">
        <v>1464</v>
      </c>
      <c r="B570" s="2" t="s">
        <v>1465</v>
      </c>
      <c r="C570" s="2" t="s">
        <v>638</v>
      </c>
      <c r="D570" s="2" t="s">
        <v>632</v>
      </c>
      <c r="E570" s="2">
        <v>73</v>
      </c>
    </row>
    <row r="571" spans="1:5" x14ac:dyDescent="0.25">
      <c r="A571" s="2" t="s">
        <v>1464</v>
      </c>
      <c r="B571" s="2" t="s">
        <v>1465</v>
      </c>
      <c r="C571" s="2" t="s">
        <v>638</v>
      </c>
      <c r="D571" s="2" t="s">
        <v>633</v>
      </c>
      <c r="E571" s="2">
        <v>82</v>
      </c>
    </row>
    <row r="572" spans="1:5" x14ac:dyDescent="0.25">
      <c r="A572" s="2" t="s">
        <v>1464</v>
      </c>
      <c r="B572" s="2" t="s">
        <v>1465</v>
      </c>
      <c r="C572" s="2" t="s">
        <v>638</v>
      </c>
      <c r="D572" s="2" t="s">
        <v>635</v>
      </c>
      <c r="E572" s="2">
        <v>88</v>
      </c>
    </row>
    <row r="573" spans="1:5" x14ac:dyDescent="0.25">
      <c r="A573" s="2" t="s">
        <v>1464</v>
      </c>
      <c r="B573" s="2" t="s">
        <v>1465</v>
      </c>
      <c r="C573" s="2" t="s">
        <v>638</v>
      </c>
      <c r="D573" s="2" t="s">
        <v>636</v>
      </c>
      <c r="E573" s="2">
        <v>108</v>
      </c>
    </row>
    <row r="574" spans="1:5" x14ac:dyDescent="0.25">
      <c r="A574" s="2" t="s">
        <v>1464</v>
      </c>
      <c r="B574" s="2" t="s">
        <v>1465</v>
      </c>
      <c r="C574" s="2" t="s">
        <v>639</v>
      </c>
      <c r="D574" s="2" t="s">
        <v>640</v>
      </c>
      <c r="E574" s="2">
        <v>52</v>
      </c>
    </row>
    <row r="575" spans="1:5" x14ac:dyDescent="0.25">
      <c r="A575" s="2" t="s">
        <v>1464</v>
      </c>
      <c r="B575" s="2" t="s">
        <v>1465</v>
      </c>
      <c r="C575" s="2" t="s">
        <v>639</v>
      </c>
      <c r="D575" s="2" t="s">
        <v>641</v>
      </c>
      <c r="E575" s="2">
        <v>80</v>
      </c>
    </row>
    <row r="576" spans="1:5" x14ac:dyDescent="0.25">
      <c r="A576" s="2" t="s">
        <v>1464</v>
      </c>
      <c r="B576" s="2" t="s">
        <v>1465</v>
      </c>
      <c r="C576" s="2" t="s">
        <v>639</v>
      </c>
      <c r="D576" s="2" t="s">
        <v>642</v>
      </c>
      <c r="E576" s="2">
        <v>100</v>
      </c>
    </row>
    <row r="577" spans="1:5" x14ac:dyDescent="0.25">
      <c r="A577" s="2" t="s">
        <v>1464</v>
      </c>
      <c r="B577" s="2" t="s">
        <v>1465</v>
      </c>
      <c r="C577" s="2" t="s">
        <v>639</v>
      </c>
      <c r="D577" s="2" t="s">
        <v>643</v>
      </c>
      <c r="E577" s="2">
        <v>110</v>
      </c>
    </row>
    <row r="578" spans="1:5" x14ac:dyDescent="0.25">
      <c r="A578" s="2" t="s">
        <v>1464</v>
      </c>
      <c r="B578" s="2" t="s">
        <v>1465</v>
      </c>
      <c r="C578" s="2" t="s">
        <v>639</v>
      </c>
      <c r="D578" s="2" t="s">
        <v>644</v>
      </c>
      <c r="E578" s="2">
        <v>136</v>
      </c>
    </row>
    <row r="579" spans="1:5" x14ac:dyDescent="0.25">
      <c r="A579" s="2" t="s">
        <v>1464</v>
      </c>
      <c r="B579" s="2" t="s">
        <v>1465</v>
      </c>
      <c r="C579" s="2" t="s">
        <v>645</v>
      </c>
      <c r="D579" s="2" t="s">
        <v>647</v>
      </c>
      <c r="E579" s="2">
        <v>52</v>
      </c>
    </row>
    <row r="580" spans="1:5" x14ac:dyDescent="0.25">
      <c r="A580" s="2" t="s">
        <v>1464</v>
      </c>
      <c r="B580" s="2" t="s">
        <v>1465</v>
      </c>
      <c r="C580" s="2" t="s">
        <v>645</v>
      </c>
      <c r="D580" s="2" t="s">
        <v>648</v>
      </c>
      <c r="E580" s="2">
        <v>80</v>
      </c>
    </row>
    <row r="581" spans="1:5" x14ac:dyDescent="0.25">
      <c r="A581" s="2" t="s">
        <v>1464</v>
      </c>
      <c r="B581" s="2" t="s">
        <v>1465</v>
      </c>
      <c r="C581" s="2" t="s">
        <v>645</v>
      </c>
      <c r="D581" s="2" t="s">
        <v>649</v>
      </c>
      <c r="E581" s="2">
        <v>100</v>
      </c>
    </row>
    <row r="582" spans="1:5" x14ac:dyDescent="0.25">
      <c r="A582" s="2" t="s">
        <v>1464</v>
      </c>
      <c r="B582" s="2" t="s">
        <v>1465</v>
      </c>
      <c r="C582" s="2" t="s">
        <v>645</v>
      </c>
      <c r="D582" s="2" t="s">
        <v>650</v>
      </c>
      <c r="E582" s="2">
        <v>110</v>
      </c>
    </row>
    <row r="583" spans="1:5" x14ac:dyDescent="0.25">
      <c r="A583" s="2" t="s">
        <v>1464</v>
      </c>
      <c r="B583" s="2" t="s">
        <v>1465</v>
      </c>
      <c r="C583" s="2" t="s">
        <v>645</v>
      </c>
      <c r="D583" s="2" t="s">
        <v>651</v>
      </c>
      <c r="E583" s="2">
        <v>136</v>
      </c>
    </row>
    <row r="584" spans="1:5" x14ac:dyDescent="0.25">
      <c r="A584" s="2" t="s">
        <v>1464</v>
      </c>
      <c r="B584" s="2" t="s">
        <v>1465</v>
      </c>
      <c r="C584" s="2" t="s">
        <v>652</v>
      </c>
      <c r="D584" s="2" t="s">
        <v>653</v>
      </c>
      <c r="E584" s="2">
        <v>17</v>
      </c>
    </row>
    <row r="585" spans="1:5" x14ac:dyDescent="0.25">
      <c r="A585" s="2" t="s">
        <v>1464</v>
      </c>
      <c r="B585" s="2" t="s">
        <v>1465</v>
      </c>
      <c r="C585" s="2" t="s">
        <v>652</v>
      </c>
      <c r="D585" s="2" t="s">
        <v>654</v>
      </c>
      <c r="E585" s="2">
        <v>36</v>
      </c>
    </row>
    <row r="586" spans="1:5" x14ac:dyDescent="0.25">
      <c r="A586" s="2" t="s">
        <v>1464</v>
      </c>
      <c r="B586" s="2" t="s">
        <v>1465</v>
      </c>
      <c r="C586" s="2" t="s">
        <v>652</v>
      </c>
      <c r="D586" s="2" t="s">
        <v>655</v>
      </c>
      <c r="E586" s="2">
        <v>48</v>
      </c>
    </row>
    <row r="587" spans="1:5" x14ac:dyDescent="0.25">
      <c r="A587" s="2" t="s">
        <v>1464</v>
      </c>
      <c r="B587" s="2" t="s">
        <v>1465</v>
      </c>
      <c r="C587" s="2" t="s">
        <v>652</v>
      </c>
      <c r="D587" s="2" t="s">
        <v>656</v>
      </c>
      <c r="E587" s="2">
        <v>66</v>
      </c>
    </row>
    <row r="588" spans="1:5" x14ac:dyDescent="0.25">
      <c r="A588" s="2" t="s">
        <v>1464</v>
      </c>
      <c r="B588" s="2" t="s">
        <v>1465</v>
      </c>
      <c r="C588" s="2" t="s">
        <v>652</v>
      </c>
      <c r="D588" s="2" t="s">
        <v>658</v>
      </c>
      <c r="E588" s="2">
        <v>78</v>
      </c>
    </row>
    <row r="589" spans="1:5" x14ac:dyDescent="0.25">
      <c r="A589" s="2" t="s">
        <v>1464</v>
      </c>
      <c r="B589" s="2" t="s">
        <v>1465</v>
      </c>
      <c r="C589" s="2" t="s">
        <v>652</v>
      </c>
      <c r="D589" s="2" t="s">
        <v>659</v>
      </c>
      <c r="E589" s="2">
        <v>100</v>
      </c>
    </row>
    <row r="590" spans="1:5" x14ac:dyDescent="0.25">
      <c r="A590" s="2" t="s">
        <v>1464</v>
      </c>
      <c r="B590" s="2" t="s">
        <v>1465</v>
      </c>
      <c r="C590" s="2" t="s">
        <v>660</v>
      </c>
      <c r="D590" s="2" t="s">
        <v>630</v>
      </c>
      <c r="E590" s="2">
        <v>23</v>
      </c>
    </row>
    <row r="591" spans="1:5" x14ac:dyDescent="0.25">
      <c r="A591" s="2" t="s">
        <v>1464</v>
      </c>
      <c r="B591" s="2" t="s">
        <v>1465</v>
      </c>
      <c r="C591" s="2" t="s">
        <v>660</v>
      </c>
      <c r="D591" s="2" t="s">
        <v>631</v>
      </c>
      <c r="E591" s="2">
        <v>52</v>
      </c>
    </row>
    <row r="592" spans="1:5" x14ac:dyDescent="0.25">
      <c r="A592" s="2" t="s">
        <v>1464</v>
      </c>
      <c r="B592" s="2" t="s">
        <v>1465</v>
      </c>
      <c r="C592" s="2" t="s">
        <v>660</v>
      </c>
      <c r="D592" s="2" t="s">
        <v>632</v>
      </c>
      <c r="E592" s="2">
        <v>86</v>
      </c>
    </row>
    <row r="593" spans="1:5" x14ac:dyDescent="0.25">
      <c r="A593" s="2" t="s">
        <v>1464</v>
      </c>
      <c r="B593" s="2" t="s">
        <v>1465</v>
      </c>
      <c r="C593" s="2" t="s">
        <v>660</v>
      </c>
      <c r="D593" s="2" t="s">
        <v>633</v>
      </c>
      <c r="E593" s="2">
        <v>100</v>
      </c>
    </row>
    <row r="594" spans="1:5" x14ac:dyDescent="0.25">
      <c r="A594" s="2" t="s">
        <v>1464</v>
      </c>
      <c r="B594" s="2" t="s">
        <v>1465</v>
      </c>
      <c r="C594" s="2" t="s">
        <v>660</v>
      </c>
      <c r="D594" s="2" t="s">
        <v>635</v>
      </c>
      <c r="E594" s="2">
        <v>110</v>
      </c>
    </row>
    <row r="595" spans="1:5" x14ac:dyDescent="0.25">
      <c r="A595" s="2" t="s">
        <v>1464</v>
      </c>
      <c r="B595" s="2" t="s">
        <v>1465</v>
      </c>
      <c r="C595" s="2" t="s">
        <v>660</v>
      </c>
      <c r="D595" s="2" t="s">
        <v>636</v>
      </c>
      <c r="E595" s="2">
        <v>150</v>
      </c>
    </row>
    <row r="596" spans="1:5" x14ac:dyDescent="0.25">
      <c r="A596" s="2" t="s">
        <v>1464</v>
      </c>
      <c r="B596" s="2" t="s">
        <v>1465</v>
      </c>
      <c r="C596" s="2" t="s">
        <v>661</v>
      </c>
      <c r="D596" s="2" t="s">
        <v>630</v>
      </c>
      <c r="E596" s="2">
        <v>23</v>
      </c>
    </row>
    <row r="597" spans="1:5" x14ac:dyDescent="0.25">
      <c r="A597" s="2" t="s">
        <v>1464</v>
      </c>
      <c r="B597" s="2" t="s">
        <v>1465</v>
      </c>
      <c r="C597" s="2" t="s">
        <v>661</v>
      </c>
      <c r="D597" s="2" t="s">
        <v>631</v>
      </c>
      <c r="E597" s="2">
        <v>52</v>
      </c>
    </row>
    <row r="598" spans="1:5" x14ac:dyDescent="0.25">
      <c r="A598" s="2" t="s">
        <v>1464</v>
      </c>
      <c r="B598" s="2" t="s">
        <v>1465</v>
      </c>
      <c r="C598" s="2" t="s">
        <v>661</v>
      </c>
      <c r="D598" s="2" t="s">
        <v>632</v>
      </c>
      <c r="E598" s="2">
        <v>86</v>
      </c>
    </row>
    <row r="599" spans="1:5" x14ac:dyDescent="0.25">
      <c r="A599" s="2" t="s">
        <v>1464</v>
      </c>
      <c r="B599" s="2" t="s">
        <v>1465</v>
      </c>
      <c r="C599" s="2" t="s">
        <v>661</v>
      </c>
      <c r="D599" s="2" t="s">
        <v>633</v>
      </c>
      <c r="E599" s="2">
        <v>100</v>
      </c>
    </row>
    <row r="600" spans="1:5" x14ac:dyDescent="0.25">
      <c r="A600" s="2" t="s">
        <v>1464</v>
      </c>
      <c r="B600" s="2" t="s">
        <v>1465</v>
      </c>
      <c r="C600" s="2" t="s">
        <v>661</v>
      </c>
      <c r="D600" s="2" t="s">
        <v>635</v>
      </c>
      <c r="E600" s="2">
        <v>110</v>
      </c>
    </row>
    <row r="601" spans="1:5" x14ac:dyDescent="0.25">
      <c r="A601" s="2" t="s">
        <v>1464</v>
      </c>
      <c r="B601" s="2" t="s">
        <v>1465</v>
      </c>
      <c r="C601" s="2" t="s">
        <v>661</v>
      </c>
      <c r="D601" s="2" t="s">
        <v>636</v>
      </c>
      <c r="E601" s="2">
        <v>150</v>
      </c>
    </row>
    <row r="602" spans="1:5" x14ac:dyDescent="0.25">
      <c r="A602" s="2" t="s">
        <v>1464</v>
      </c>
      <c r="B602" s="2" t="s">
        <v>1465</v>
      </c>
      <c r="C602" s="2" t="s">
        <v>691</v>
      </c>
      <c r="D602" s="2" t="s">
        <v>693</v>
      </c>
      <c r="E602" s="2">
        <v>143</v>
      </c>
    </row>
    <row r="603" spans="1:5" x14ac:dyDescent="0.25">
      <c r="A603" s="2" t="s">
        <v>1464</v>
      </c>
      <c r="B603" s="2" t="s">
        <v>1465</v>
      </c>
      <c r="C603" s="2" t="s">
        <v>691</v>
      </c>
      <c r="D603" s="2" t="s">
        <v>647</v>
      </c>
      <c r="E603" s="2">
        <v>164</v>
      </c>
    </row>
    <row r="604" spans="1:5" x14ac:dyDescent="0.25">
      <c r="A604" s="2" t="s">
        <v>1464</v>
      </c>
      <c r="B604" s="2" t="s">
        <v>1465</v>
      </c>
      <c r="C604" s="2" t="s">
        <v>691</v>
      </c>
      <c r="D604" s="2" t="s">
        <v>648</v>
      </c>
      <c r="E604" s="2">
        <v>180</v>
      </c>
    </row>
    <row r="605" spans="1:5" x14ac:dyDescent="0.25">
      <c r="A605" s="2" t="s">
        <v>1464</v>
      </c>
      <c r="B605" s="2" t="s">
        <v>1465</v>
      </c>
      <c r="C605" s="2" t="s">
        <v>691</v>
      </c>
      <c r="D605" s="2" t="s">
        <v>634</v>
      </c>
      <c r="E605" s="2">
        <v>212</v>
      </c>
    </row>
    <row r="606" spans="1:5" x14ac:dyDescent="0.25">
      <c r="A606" s="2" t="s">
        <v>1464</v>
      </c>
      <c r="B606" s="2" t="s">
        <v>1465</v>
      </c>
      <c r="C606" s="2" t="s">
        <v>691</v>
      </c>
      <c r="D606" s="2" t="s">
        <v>649</v>
      </c>
      <c r="E606" s="2">
        <v>212</v>
      </c>
    </row>
    <row r="607" spans="1:5" x14ac:dyDescent="0.25">
      <c r="A607" s="2" t="s">
        <v>1464</v>
      </c>
      <c r="B607" s="2" t="s">
        <v>1465</v>
      </c>
      <c r="C607" s="2" t="s">
        <v>691</v>
      </c>
      <c r="D607" s="2" t="s">
        <v>635</v>
      </c>
      <c r="E607" s="2">
        <v>244</v>
      </c>
    </row>
    <row r="608" spans="1:5" x14ac:dyDescent="0.25">
      <c r="A608" s="2" t="s">
        <v>1464</v>
      </c>
      <c r="B608" s="2" t="s">
        <v>1465</v>
      </c>
      <c r="C608" s="2" t="s">
        <v>691</v>
      </c>
      <c r="D608" s="2" t="s">
        <v>650</v>
      </c>
      <c r="E608" s="2">
        <v>244</v>
      </c>
    </row>
    <row r="609" spans="1:5" x14ac:dyDescent="0.25">
      <c r="A609" s="2" t="s">
        <v>1464</v>
      </c>
      <c r="B609" s="2" t="s">
        <v>1465</v>
      </c>
      <c r="C609" s="2" t="s">
        <v>691</v>
      </c>
      <c r="D609" s="2" t="s">
        <v>636</v>
      </c>
      <c r="E609" s="2">
        <v>275</v>
      </c>
    </row>
    <row r="610" spans="1:5" x14ac:dyDescent="0.25">
      <c r="A610" s="2" t="s">
        <v>1464</v>
      </c>
      <c r="B610" s="2" t="s">
        <v>1465</v>
      </c>
      <c r="C610" s="2" t="s">
        <v>691</v>
      </c>
      <c r="D610" s="2" t="s">
        <v>651</v>
      </c>
      <c r="E610" s="2">
        <v>275</v>
      </c>
    </row>
    <row r="611" spans="1:5" x14ac:dyDescent="0.25">
      <c r="A611" s="2" t="s">
        <v>1464</v>
      </c>
      <c r="B611" s="2" t="s">
        <v>1465</v>
      </c>
      <c r="C611" s="2" t="s">
        <v>694</v>
      </c>
      <c r="D611" s="2" t="s">
        <v>693</v>
      </c>
      <c r="E611" s="2">
        <v>143</v>
      </c>
    </row>
    <row r="612" spans="1:5" x14ac:dyDescent="0.25">
      <c r="A612" s="2" t="s">
        <v>1464</v>
      </c>
      <c r="B612" s="2" t="s">
        <v>1465</v>
      </c>
      <c r="C612" s="2" t="s">
        <v>694</v>
      </c>
      <c r="D612" s="2" t="s">
        <v>647</v>
      </c>
      <c r="E612" s="2">
        <v>164</v>
      </c>
    </row>
    <row r="613" spans="1:5" x14ac:dyDescent="0.25">
      <c r="A613" s="2" t="s">
        <v>1464</v>
      </c>
      <c r="B613" s="2" t="s">
        <v>1465</v>
      </c>
      <c r="C613" s="2" t="s">
        <v>694</v>
      </c>
      <c r="D613" s="2" t="s">
        <v>648</v>
      </c>
      <c r="E613" s="2">
        <v>180</v>
      </c>
    </row>
    <row r="614" spans="1:5" x14ac:dyDescent="0.25">
      <c r="A614" s="2" t="s">
        <v>1464</v>
      </c>
      <c r="B614" s="2" t="s">
        <v>1465</v>
      </c>
      <c r="C614" s="2" t="s">
        <v>694</v>
      </c>
      <c r="D614" s="2" t="s">
        <v>634</v>
      </c>
      <c r="E614" s="2">
        <v>212</v>
      </c>
    </row>
    <row r="615" spans="1:5" x14ac:dyDescent="0.25">
      <c r="A615" s="2" t="s">
        <v>1464</v>
      </c>
      <c r="B615" s="2" t="s">
        <v>1465</v>
      </c>
      <c r="C615" s="2" t="s">
        <v>694</v>
      </c>
      <c r="D615" s="2" t="s">
        <v>649</v>
      </c>
      <c r="E615" s="2">
        <v>212</v>
      </c>
    </row>
    <row r="616" spans="1:5" x14ac:dyDescent="0.25">
      <c r="A616" s="2" t="s">
        <v>1464</v>
      </c>
      <c r="B616" s="2" t="s">
        <v>1465</v>
      </c>
      <c r="C616" s="2" t="s">
        <v>694</v>
      </c>
      <c r="D616" s="2" t="s">
        <v>635</v>
      </c>
      <c r="E616" s="2">
        <v>244</v>
      </c>
    </row>
    <row r="617" spans="1:5" x14ac:dyDescent="0.25">
      <c r="A617" s="2" t="s">
        <v>1464</v>
      </c>
      <c r="B617" s="2" t="s">
        <v>1465</v>
      </c>
      <c r="C617" s="2" t="s">
        <v>694</v>
      </c>
      <c r="D617" s="2" t="s">
        <v>650</v>
      </c>
      <c r="E617" s="2">
        <v>244</v>
      </c>
    </row>
    <row r="618" spans="1:5" x14ac:dyDescent="0.25">
      <c r="A618" s="2" t="s">
        <v>1464</v>
      </c>
      <c r="B618" s="2" t="s">
        <v>1465</v>
      </c>
      <c r="C618" s="2" t="s">
        <v>694</v>
      </c>
      <c r="D618" s="2" t="s">
        <v>636</v>
      </c>
      <c r="E618" s="2">
        <v>275</v>
      </c>
    </row>
    <row r="619" spans="1:5" x14ac:dyDescent="0.25">
      <c r="A619" s="2" t="s">
        <v>1464</v>
      </c>
      <c r="B619" s="2" t="s">
        <v>1465</v>
      </c>
      <c r="C619" s="2" t="s">
        <v>694</v>
      </c>
      <c r="D619" s="2" t="s">
        <v>651</v>
      </c>
      <c r="E619" s="2">
        <v>275</v>
      </c>
    </row>
    <row r="620" spans="1:5" x14ac:dyDescent="0.25">
      <c r="A620" s="2" t="s">
        <v>1464</v>
      </c>
      <c r="B620" s="2" t="s">
        <v>1465</v>
      </c>
      <c r="C620" s="2" t="s">
        <v>695</v>
      </c>
      <c r="D620" s="2" t="s">
        <v>696</v>
      </c>
      <c r="E620" s="2">
        <v>308</v>
      </c>
    </row>
    <row r="621" spans="1:5" x14ac:dyDescent="0.25">
      <c r="A621" s="2" t="s">
        <v>1464</v>
      </c>
      <c r="B621" s="2" t="s">
        <v>1465</v>
      </c>
      <c r="C621" s="2" t="s">
        <v>695</v>
      </c>
      <c r="D621" s="2" t="s">
        <v>697</v>
      </c>
      <c r="E621" s="2">
        <v>308</v>
      </c>
    </row>
    <row r="622" spans="1:5" x14ac:dyDescent="0.25">
      <c r="A622" s="2" t="s">
        <v>1464</v>
      </c>
      <c r="B622" s="2" t="s">
        <v>1465</v>
      </c>
      <c r="C622" s="2" t="s">
        <v>695</v>
      </c>
      <c r="D622" s="2" t="s">
        <v>698</v>
      </c>
      <c r="E622" s="2">
        <v>308</v>
      </c>
    </row>
    <row r="623" spans="1:5" x14ac:dyDescent="0.25">
      <c r="A623" s="2" t="s">
        <v>1464</v>
      </c>
      <c r="B623" s="2" t="s">
        <v>1465</v>
      </c>
      <c r="C623" s="2" t="s">
        <v>695</v>
      </c>
      <c r="D623" s="2" t="s">
        <v>699</v>
      </c>
      <c r="E623" s="2">
        <v>308</v>
      </c>
    </row>
    <row r="624" spans="1:5" x14ac:dyDescent="0.25">
      <c r="A624" s="2" t="s">
        <v>1464</v>
      </c>
      <c r="B624" s="2" t="s">
        <v>1465</v>
      </c>
      <c r="C624" s="2" t="s">
        <v>695</v>
      </c>
      <c r="D624" s="2" t="s">
        <v>700</v>
      </c>
      <c r="E624" s="2">
        <v>308</v>
      </c>
    </row>
    <row r="625" spans="1:5" x14ac:dyDescent="0.25">
      <c r="A625" s="2" t="s">
        <v>1464</v>
      </c>
      <c r="B625" s="2" t="s">
        <v>1465</v>
      </c>
      <c r="C625" s="2" t="s">
        <v>695</v>
      </c>
      <c r="D625" s="2" t="s">
        <v>701</v>
      </c>
      <c r="E625" s="2">
        <v>308</v>
      </c>
    </row>
    <row r="626" spans="1:5" x14ac:dyDescent="0.25">
      <c r="A626" s="2" t="s">
        <v>1464</v>
      </c>
      <c r="B626" s="2" t="s">
        <v>1465</v>
      </c>
      <c r="C626" s="2" t="s">
        <v>695</v>
      </c>
      <c r="D626" s="2" t="s">
        <v>702</v>
      </c>
      <c r="E626" s="2">
        <v>308</v>
      </c>
    </row>
    <row r="627" spans="1:5" x14ac:dyDescent="0.25">
      <c r="A627" s="2" t="s">
        <v>1464</v>
      </c>
      <c r="B627" s="2" t="s">
        <v>1465</v>
      </c>
      <c r="C627" s="2" t="s">
        <v>695</v>
      </c>
      <c r="D627" s="2" t="s">
        <v>703</v>
      </c>
      <c r="E627" s="2">
        <v>308</v>
      </c>
    </row>
    <row r="628" spans="1:5" x14ac:dyDescent="0.25">
      <c r="A628" s="2" t="s">
        <v>1464</v>
      </c>
      <c r="B628" s="2" t="s">
        <v>1465</v>
      </c>
      <c r="C628" s="2" t="s">
        <v>695</v>
      </c>
      <c r="D628" s="2" t="s">
        <v>704</v>
      </c>
      <c r="E628" s="2">
        <v>308</v>
      </c>
    </row>
    <row r="629" spans="1:5" x14ac:dyDescent="0.25">
      <c r="A629" s="2" t="s">
        <v>1464</v>
      </c>
      <c r="B629" s="2" t="s">
        <v>1465</v>
      </c>
      <c r="C629" s="2" t="s">
        <v>695</v>
      </c>
      <c r="D629" s="2" t="s">
        <v>705</v>
      </c>
      <c r="E629" s="2">
        <v>308</v>
      </c>
    </row>
    <row r="630" spans="1:5" x14ac:dyDescent="0.25">
      <c r="A630" s="2" t="s">
        <v>1464</v>
      </c>
      <c r="B630" s="2" t="s">
        <v>1465</v>
      </c>
      <c r="C630" s="2" t="s">
        <v>711</v>
      </c>
      <c r="D630" s="2" t="s">
        <v>630</v>
      </c>
      <c r="E630" s="2">
        <v>23</v>
      </c>
    </row>
    <row r="631" spans="1:5" x14ac:dyDescent="0.25">
      <c r="A631" s="2" t="s">
        <v>1464</v>
      </c>
      <c r="B631" s="2" t="s">
        <v>1465</v>
      </c>
      <c r="C631" s="2" t="s">
        <v>711</v>
      </c>
      <c r="D631" s="2" t="s">
        <v>631</v>
      </c>
      <c r="E631" s="2">
        <v>42</v>
      </c>
    </row>
    <row r="632" spans="1:5" x14ac:dyDescent="0.25">
      <c r="A632" s="2" t="s">
        <v>1464</v>
      </c>
      <c r="B632" s="2" t="s">
        <v>1465</v>
      </c>
      <c r="C632" s="2" t="s">
        <v>711</v>
      </c>
      <c r="D632" s="2" t="s">
        <v>632</v>
      </c>
      <c r="E632" s="2">
        <v>73</v>
      </c>
    </row>
    <row r="633" spans="1:5" x14ac:dyDescent="0.25">
      <c r="A633" s="2" t="s">
        <v>1464</v>
      </c>
      <c r="B633" s="2" t="s">
        <v>1465</v>
      </c>
      <c r="C633" s="2" t="s">
        <v>711</v>
      </c>
      <c r="D633" s="2" t="s">
        <v>633</v>
      </c>
      <c r="E633" s="2">
        <v>82</v>
      </c>
    </row>
    <row r="634" spans="1:5" x14ac:dyDescent="0.25">
      <c r="A634" s="2" t="s">
        <v>1464</v>
      </c>
      <c r="B634" s="2" t="s">
        <v>1465</v>
      </c>
      <c r="C634" s="2" t="s">
        <v>711</v>
      </c>
      <c r="D634" s="2" t="s">
        <v>635</v>
      </c>
      <c r="E634" s="2">
        <v>88</v>
      </c>
    </row>
    <row r="635" spans="1:5" x14ac:dyDescent="0.25">
      <c r="A635" s="2" t="s">
        <v>1464</v>
      </c>
      <c r="B635" s="2" t="s">
        <v>1465</v>
      </c>
      <c r="C635" s="2" t="s">
        <v>711</v>
      </c>
      <c r="D635" s="2" t="s">
        <v>636</v>
      </c>
      <c r="E635" s="2">
        <v>108</v>
      </c>
    </row>
    <row r="636" spans="1:5" x14ac:dyDescent="0.25">
      <c r="A636" s="2" t="s">
        <v>1464</v>
      </c>
      <c r="B636" s="2" t="s">
        <v>1465</v>
      </c>
      <c r="C636" s="2" t="s">
        <v>713</v>
      </c>
      <c r="D636" s="2" t="s">
        <v>630</v>
      </c>
      <c r="E636" s="2">
        <v>23</v>
      </c>
    </row>
    <row r="637" spans="1:5" x14ac:dyDescent="0.25">
      <c r="A637" s="2" t="s">
        <v>1464</v>
      </c>
      <c r="B637" s="2" t="s">
        <v>1465</v>
      </c>
      <c r="C637" s="2" t="s">
        <v>713</v>
      </c>
      <c r="D637" s="2" t="s">
        <v>631</v>
      </c>
      <c r="E637" s="2">
        <v>42</v>
      </c>
    </row>
    <row r="638" spans="1:5" x14ac:dyDescent="0.25">
      <c r="A638" s="2" t="s">
        <v>1464</v>
      </c>
      <c r="B638" s="2" t="s">
        <v>1465</v>
      </c>
      <c r="C638" s="2" t="s">
        <v>713</v>
      </c>
      <c r="D638" s="2" t="s">
        <v>632</v>
      </c>
      <c r="E638" s="2">
        <v>73</v>
      </c>
    </row>
    <row r="639" spans="1:5" x14ac:dyDescent="0.25">
      <c r="A639" s="2" t="s">
        <v>1464</v>
      </c>
      <c r="B639" s="2" t="s">
        <v>1465</v>
      </c>
      <c r="C639" s="2" t="s">
        <v>713</v>
      </c>
      <c r="D639" s="2" t="s">
        <v>633</v>
      </c>
      <c r="E639" s="2">
        <v>82</v>
      </c>
    </row>
    <row r="640" spans="1:5" x14ac:dyDescent="0.25">
      <c r="A640" s="2" t="s">
        <v>1464</v>
      </c>
      <c r="B640" s="2" t="s">
        <v>1465</v>
      </c>
      <c r="C640" s="2" t="s">
        <v>713</v>
      </c>
      <c r="D640" s="2" t="s">
        <v>635</v>
      </c>
      <c r="E640" s="2">
        <v>88</v>
      </c>
    </row>
    <row r="641" spans="1:5" x14ac:dyDescent="0.25">
      <c r="A641" s="2" t="s">
        <v>1464</v>
      </c>
      <c r="B641" s="2" t="s">
        <v>1465</v>
      </c>
      <c r="C641" s="2" t="s">
        <v>713</v>
      </c>
      <c r="D641" s="2" t="s">
        <v>636</v>
      </c>
      <c r="E641" s="2">
        <v>108</v>
      </c>
    </row>
    <row r="642" spans="1:5" x14ac:dyDescent="0.25">
      <c r="A642" s="2" t="s">
        <v>1464</v>
      </c>
      <c r="B642" s="2" t="s">
        <v>1465</v>
      </c>
      <c r="C642" s="2" t="s">
        <v>714</v>
      </c>
      <c r="D642" s="2" t="s">
        <v>640</v>
      </c>
      <c r="E642" s="2">
        <v>52</v>
      </c>
    </row>
    <row r="643" spans="1:5" x14ac:dyDescent="0.25">
      <c r="A643" s="2" t="s">
        <v>1464</v>
      </c>
      <c r="B643" s="2" t="s">
        <v>1465</v>
      </c>
      <c r="C643" s="2" t="s">
        <v>714</v>
      </c>
      <c r="D643" s="2" t="s">
        <v>641</v>
      </c>
      <c r="E643" s="2">
        <v>80</v>
      </c>
    </row>
    <row r="644" spans="1:5" x14ac:dyDescent="0.25">
      <c r="A644" s="2" t="s">
        <v>1464</v>
      </c>
      <c r="B644" s="2" t="s">
        <v>1465</v>
      </c>
      <c r="C644" s="2" t="s">
        <v>714</v>
      </c>
      <c r="D644" s="2" t="s">
        <v>642</v>
      </c>
      <c r="E644" s="2">
        <v>100</v>
      </c>
    </row>
    <row r="645" spans="1:5" x14ac:dyDescent="0.25">
      <c r="A645" s="2" t="s">
        <v>1464</v>
      </c>
      <c r="B645" s="2" t="s">
        <v>1465</v>
      </c>
      <c r="C645" s="2" t="s">
        <v>714</v>
      </c>
      <c r="D645" s="2" t="s">
        <v>643</v>
      </c>
      <c r="E645" s="2">
        <v>110</v>
      </c>
    </row>
    <row r="646" spans="1:5" x14ac:dyDescent="0.25">
      <c r="A646" s="2" t="s">
        <v>1464</v>
      </c>
      <c r="B646" s="2" t="s">
        <v>1465</v>
      </c>
      <c r="C646" s="2" t="s">
        <v>714</v>
      </c>
      <c r="D646" s="2" t="s">
        <v>644</v>
      </c>
      <c r="E646" s="2">
        <v>136</v>
      </c>
    </row>
    <row r="647" spans="1:5" x14ac:dyDescent="0.25">
      <c r="A647" s="2" t="s">
        <v>1464</v>
      </c>
      <c r="B647" s="2" t="s">
        <v>1465</v>
      </c>
      <c r="C647" s="2" t="s">
        <v>715</v>
      </c>
      <c r="D647" s="2" t="s">
        <v>647</v>
      </c>
      <c r="E647" s="2">
        <v>52</v>
      </c>
    </row>
    <row r="648" spans="1:5" x14ac:dyDescent="0.25">
      <c r="A648" s="2" t="s">
        <v>1464</v>
      </c>
      <c r="B648" s="2" t="s">
        <v>1465</v>
      </c>
      <c r="C648" s="2" t="s">
        <v>715</v>
      </c>
      <c r="D648" s="2" t="s">
        <v>648</v>
      </c>
      <c r="E648" s="2">
        <v>80</v>
      </c>
    </row>
    <row r="649" spans="1:5" x14ac:dyDescent="0.25">
      <c r="A649" s="2" t="s">
        <v>1464</v>
      </c>
      <c r="B649" s="2" t="s">
        <v>1465</v>
      </c>
      <c r="C649" s="2" t="s">
        <v>715</v>
      </c>
      <c r="D649" s="2" t="s">
        <v>649</v>
      </c>
      <c r="E649" s="2">
        <v>100</v>
      </c>
    </row>
    <row r="650" spans="1:5" x14ac:dyDescent="0.25">
      <c r="A650" s="2" t="s">
        <v>1464</v>
      </c>
      <c r="B650" s="2" t="s">
        <v>1465</v>
      </c>
      <c r="C650" s="2" t="s">
        <v>715</v>
      </c>
      <c r="D650" s="2" t="s">
        <v>650</v>
      </c>
      <c r="E650" s="2">
        <v>110</v>
      </c>
    </row>
    <row r="651" spans="1:5" x14ac:dyDescent="0.25">
      <c r="A651" s="2" t="s">
        <v>1464</v>
      </c>
      <c r="B651" s="2" t="s">
        <v>1465</v>
      </c>
      <c r="C651" s="2" t="s">
        <v>715</v>
      </c>
      <c r="D651" s="2" t="s">
        <v>651</v>
      </c>
      <c r="E651" s="2">
        <v>136</v>
      </c>
    </row>
    <row r="652" spans="1:5" x14ac:dyDescent="0.25">
      <c r="A652" s="2" t="s">
        <v>1464</v>
      </c>
      <c r="B652" s="2" t="s">
        <v>1465</v>
      </c>
      <c r="C652" s="2" t="s">
        <v>716</v>
      </c>
      <c r="D652" s="2" t="s">
        <v>653</v>
      </c>
      <c r="E652" s="2">
        <v>17</v>
      </c>
    </row>
    <row r="653" spans="1:5" x14ac:dyDescent="0.25">
      <c r="A653" s="2" t="s">
        <v>1464</v>
      </c>
      <c r="B653" s="2" t="s">
        <v>1465</v>
      </c>
      <c r="C653" s="2" t="s">
        <v>716</v>
      </c>
      <c r="D653" s="2" t="s">
        <v>654</v>
      </c>
      <c r="E653" s="2">
        <v>36</v>
      </c>
    </row>
    <row r="654" spans="1:5" x14ac:dyDescent="0.25">
      <c r="A654" s="2" t="s">
        <v>1464</v>
      </c>
      <c r="B654" s="2" t="s">
        <v>1465</v>
      </c>
      <c r="C654" s="2" t="s">
        <v>716</v>
      </c>
      <c r="D654" s="2" t="s">
        <v>655</v>
      </c>
      <c r="E654" s="2">
        <v>48</v>
      </c>
    </row>
    <row r="655" spans="1:5" x14ac:dyDescent="0.25">
      <c r="A655" s="2" t="s">
        <v>1464</v>
      </c>
      <c r="B655" s="2" t="s">
        <v>1465</v>
      </c>
      <c r="C655" s="2" t="s">
        <v>716</v>
      </c>
      <c r="D655" s="2" t="s">
        <v>656</v>
      </c>
      <c r="E655" s="2">
        <v>66</v>
      </c>
    </row>
    <row r="656" spans="1:5" x14ac:dyDescent="0.25">
      <c r="A656" s="2" t="s">
        <v>1464</v>
      </c>
      <c r="B656" s="2" t="s">
        <v>1465</v>
      </c>
      <c r="C656" s="2" t="s">
        <v>716</v>
      </c>
      <c r="D656" s="2" t="s">
        <v>658</v>
      </c>
      <c r="E656" s="2">
        <v>78</v>
      </c>
    </row>
    <row r="657" spans="1:5" x14ac:dyDescent="0.25">
      <c r="A657" s="2" t="s">
        <v>1464</v>
      </c>
      <c r="B657" s="2" t="s">
        <v>1465</v>
      </c>
      <c r="C657" s="2" t="s">
        <v>716</v>
      </c>
      <c r="D657" s="2" t="s">
        <v>659</v>
      </c>
      <c r="E657" s="2">
        <v>100</v>
      </c>
    </row>
    <row r="658" spans="1:5" x14ac:dyDescent="0.25">
      <c r="A658" s="2" t="s">
        <v>1464</v>
      </c>
      <c r="B658" s="2" t="s">
        <v>1465</v>
      </c>
      <c r="C658" s="2" t="s">
        <v>717</v>
      </c>
      <c r="D658" s="2" t="s">
        <v>630</v>
      </c>
      <c r="E658" s="2">
        <v>23</v>
      </c>
    </row>
    <row r="659" spans="1:5" x14ac:dyDescent="0.25">
      <c r="A659" s="2" t="s">
        <v>1464</v>
      </c>
      <c r="B659" s="2" t="s">
        <v>1465</v>
      </c>
      <c r="C659" s="2" t="s">
        <v>717</v>
      </c>
      <c r="D659" s="2" t="s">
        <v>631</v>
      </c>
      <c r="E659" s="2">
        <v>52</v>
      </c>
    </row>
    <row r="660" spans="1:5" x14ac:dyDescent="0.25">
      <c r="A660" s="2" t="s">
        <v>1464</v>
      </c>
      <c r="B660" s="2" t="s">
        <v>1465</v>
      </c>
      <c r="C660" s="2" t="s">
        <v>717</v>
      </c>
      <c r="D660" s="2" t="s">
        <v>632</v>
      </c>
      <c r="E660" s="2">
        <v>86</v>
      </c>
    </row>
    <row r="661" spans="1:5" x14ac:dyDescent="0.25">
      <c r="A661" s="2" t="s">
        <v>1464</v>
      </c>
      <c r="B661" s="2" t="s">
        <v>1465</v>
      </c>
      <c r="C661" s="2" t="s">
        <v>717</v>
      </c>
      <c r="D661" s="2" t="s">
        <v>633</v>
      </c>
      <c r="E661" s="2">
        <v>100</v>
      </c>
    </row>
    <row r="662" spans="1:5" x14ac:dyDescent="0.25">
      <c r="A662" s="2" t="s">
        <v>1464</v>
      </c>
      <c r="B662" s="2" t="s">
        <v>1465</v>
      </c>
      <c r="C662" s="2" t="s">
        <v>717</v>
      </c>
      <c r="D662" s="2" t="s">
        <v>635</v>
      </c>
      <c r="E662" s="2">
        <v>110</v>
      </c>
    </row>
    <row r="663" spans="1:5" x14ac:dyDescent="0.25">
      <c r="A663" s="2" t="s">
        <v>1464</v>
      </c>
      <c r="B663" s="2" t="s">
        <v>1465</v>
      </c>
      <c r="C663" s="2" t="s">
        <v>717</v>
      </c>
      <c r="D663" s="2" t="s">
        <v>636</v>
      </c>
      <c r="E663" s="2">
        <v>150</v>
      </c>
    </row>
    <row r="664" spans="1:5" x14ac:dyDescent="0.25">
      <c r="A664" s="2" t="s">
        <v>1464</v>
      </c>
      <c r="B664" s="2" t="s">
        <v>1465</v>
      </c>
      <c r="C664" s="2" t="s">
        <v>718</v>
      </c>
      <c r="D664" s="2" t="s">
        <v>630</v>
      </c>
      <c r="E664" s="2">
        <v>23</v>
      </c>
    </row>
    <row r="665" spans="1:5" x14ac:dyDescent="0.25">
      <c r="A665" s="2" t="s">
        <v>1464</v>
      </c>
      <c r="B665" s="2" t="s">
        <v>1465</v>
      </c>
      <c r="C665" s="2" t="s">
        <v>718</v>
      </c>
      <c r="D665" s="2" t="s">
        <v>631</v>
      </c>
      <c r="E665" s="2">
        <v>52</v>
      </c>
    </row>
    <row r="666" spans="1:5" x14ac:dyDescent="0.25">
      <c r="A666" s="2" t="s">
        <v>1464</v>
      </c>
      <c r="B666" s="2" t="s">
        <v>1465</v>
      </c>
      <c r="C666" s="2" t="s">
        <v>718</v>
      </c>
      <c r="D666" s="2" t="s">
        <v>632</v>
      </c>
      <c r="E666" s="2">
        <v>86</v>
      </c>
    </row>
    <row r="667" spans="1:5" x14ac:dyDescent="0.25">
      <c r="A667" s="2" t="s">
        <v>1464</v>
      </c>
      <c r="B667" s="2" t="s">
        <v>1465</v>
      </c>
      <c r="C667" s="2" t="s">
        <v>718</v>
      </c>
      <c r="D667" s="2" t="s">
        <v>633</v>
      </c>
      <c r="E667" s="2">
        <v>100</v>
      </c>
    </row>
    <row r="668" spans="1:5" x14ac:dyDescent="0.25">
      <c r="A668" s="2" t="s">
        <v>1464</v>
      </c>
      <c r="B668" s="2" t="s">
        <v>1465</v>
      </c>
      <c r="C668" s="2" t="s">
        <v>718</v>
      </c>
      <c r="D668" s="2" t="s">
        <v>635</v>
      </c>
      <c r="E668" s="2">
        <v>110</v>
      </c>
    </row>
    <row r="669" spans="1:5" x14ac:dyDescent="0.25">
      <c r="A669" s="2" t="s">
        <v>1464</v>
      </c>
      <c r="B669" s="2" t="s">
        <v>1465</v>
      </c>
      <c r="C669" s="2" t="s">
        <v>718</v>
      </c>
      <c r="D669" s="2" t="s">
        <v>636</v>
      </c>
      <c r="E669" s="2">
        <v>150</v>
      </c>
    </row>
    <row r="670" spans="1:5" x14ac:dyDescent="0.25">
      <c r="A670" s="2" t="s">
        <v>1462</v>
      </c>
      <c r="B670" s="2" t="s">
        <v>2082</v>
      </c>
      <c r="C670" s="2" t="s">
        <v>603</v>
      </c>
      <c r="D670" s="2" t="s">
        <v>604</v>
      </c>
      <c r="E670" s="2">
        <v>118.45</v>
      </c>
    </row>
    <row r="671" spans="1:5" x14ac:dyDescent="0.25">
      <c r="A671" s="2" t="s">
        <v>1462</v>
      </c>
      <c r="B671" s="2" t="s">
        <v>2082</v>
      </c>
      <c r="C671" s="2" t="s">
        <v>603</v>
      </c>
      <c r="D671" s="2" t="s">
        <v>605</v>
      </c>
      <c r="E671" s="2">
        <v>128.75</v>
      </c>
    </row>
    <row r="672" spans="1:5" x14ac:dyDescent="0.25">
      <c r="A672" s="2" t="s">
        <v>1462</v>
      </c>
      <c r="B672" s="2" t="s">
        <v>2082</v>
      </c>
      <c r="C672" s="2" t="s">
        <v>603</v>
      </c>
      <c r="D672" s="2" t="s">
        <v>606</v>
      </c>
      <c r="E672" s="2">
        <v>139.05000000000001</v>
      </c>
    </row>
    <row r="673" spans="1:5" x14ac:dyDescent="0.25">
      <c r="A673" s="2" t="s">
        <v>1462</v>
      </c>
      <c r="B673" s="2" t="s">
        <v>2082</v>
      </c>
      <c r="C673" s="2" t="s">
        <v>603</v>
      </c>
      <c r="D673" s="2" t="s">
        <v>607</v>
      </c>
      <c r="E673" s="2">
        <v>149.35</v>
      </c>
    </row>
    <row r="674" spans="1:5" x14ac:dyDescent="0.25">
      <c r="A674" s="2" t="s">
        <v>1462</v>
      </c>
      <c r="B674" s="2" t="s">
        <v>2082</v>
      </c>
      <c r="C674" s="2" t="s">
        <v>603</v>
      </c>
      <c r="D674" s="2" t="s">
        <v>608</v>
      </c>
      <c r="E674" s="2">
        <v>154.5</v>
      </c>
    </row>
    <row r="675" spans="1:5" x14ac:dyDescent="0.25">
      <c r="A675" s="2" t="s">
        <v>1462</v>
      </c>
      <c r="B675" s="2" t="s">
        <v>2082</v>
      </c>
      <c r="C675" s="2" t="s">
        <v>603</v>
      </c>
      <c r="D675" s="2" t="s">
        <v>609</v>
      </c>
      <c r="E675" s="2">
        <v>185.4</v>
      </c>
    </row>
    <row r="676" spans="1:5" x14ac:dyDescent="0.25">
      <c r="A676" s="2" t="s">
        <v>1462</v>
      </c>
      <c r="B676" s="2" t="s">
        <v>2082</v>
      </c>
      <c r="C676" s="2" t="s">
        <v>603</v>
      </c>
      <c r="D676" s="2" t="s">
        <v>610</v>
      </c>
      <c r="E676" s="2">
        <v>190.55</v>
      </c>
    </row>
    <row r="677" spans="1:5" x14ac:dyDescent="0.25">
      <c r="A677" s="2" t="s">
        <v>1462</v>
      </c>
      <c r="B677" s="2" t="s">
        <v>2082</v>
      </c>
      <c r="C677" s="2" t="s">
        <v>603</v>
      </c>
      <c r="D677" s="2" t="s">
        <v>611</v>
      </c>
      <c r="E677" s="2">
        <v>216.3</v>
      </c>
    </row>
    <row r="678" spans="1:5" x14ac:dyDescent="0.25">
      <c r="A678" s="2" t="s">
        <v>1462</v>
      </c>
      <c r="B678" s="2" t="s">
        <v>2082</v>
      </c>
      <c r="C678" s="2" t="s">
        <v>603</v>
      </c>
      <c r="D678" s="2" t="s">
        <v>612</v>
      </c>
      <c r="E678" s="2">
        <v>221.45</v>
      </c>
    </row>
    <row r="679" spans="1:5" x14ac:dyDescent="0.25">
      <c r="A679" s="2" t="s">
        <v>1462</v>
      </c>
      <c r="B679" s="2" t="s">
        <v>2082</v>
      </c>
      <c r="C679" s="2" t="s">
        <v>603</v>
      </c>
      <c r="D679" s="2" t="s">
        <v>613</v>
      </c>
      <c r="E679" s="2">
        <v>257.5</v>
      </c>
    </row>
    <row r="680" spans="1:5" x14ac:dyDescent="0.25">
      <c r="A680" s="2" t="s">
        <v>1462</v>
      </c>
      <c r="B680" s="2" t="s">
        <v>2082</v>
      </c>
      <c r="C680" s="2" t="s">
        <v>603</v>
      </c>
      <c r="D680" s="2" t="s">
        <v>614</v>
      </c>
      <c r="E680" s="2">
        <v>278.10000000000002</v>
      </c>
    </row>
    <row r="681" spans="1:5" x14ac:dyDescent="0.25">
      <c r="A681" s="2" t="s">
        <v>1737</v>
      </c>
      <c r="B681" s="2" t="s">
        <v>1739</v>
      </c>
      <c r="C681" s="2" t="s">
        <v>603</v>
      </c>
      <c r="D681" s="2" t="s">
        <v>604</v>
      </c>
      <c r="E681" s="2">
        <v>100</v>
      </c>
    </row>
    <row r="682" spans="1:5" x14ac:dyDescent="0.25">
      <c r="A682" s="2" t="s">
        <v>1737</v>
      </c>
      <c r="B682" s="2" t="s">
        <v>1739</v>
      </c>
      <c r="C682" s="2" t="s">
        <v>603</v>
      </c>
      <c r="D682" s="2" t="s">
        <v>605</v>
      </c>
      <c r="E682" s="2">
        <v>127.5</v>
      </c>
    </row>
    <row r="683" spans="1:5" x14ac:dyDescent="0.25">
      <c r="A683" s="2" t="s">
        <v>1737</v>
      </c>
      <c r="B683" s="2" t="s">
        <v>1739</v>
      </c>
      <c r="C683" s="2" t="s">
        <v>603</v>
      </c>
      <c r="D683" s="2" t="s">
        <v>606</v>
      </c>
      <c r="E683" s="2">
        <v>191.9</v>
      </c>
    </row>
    <row r="684" spans="1:5" x14ac:dyDescent="0.25">
      <c r="A684" s="2" t="s">
        <v>1737</v>
      </c>
      <c r="B684" s="2" t="s">
        <v>1739</v>
      </c>
      <c r="C684" s="2" t="s">
        <v>603</v>
      </c>
      <c r="D684" s="2" t="s">
        <v>607</v>
      </c>
      <c r="E684" s="2">
        <v>308</v>
      </c>
    </row>
    <row r="685" spans="1:5" x14ac:dyDescent="0.25">
      <c r="A685" s="2" t="s">
        <v>1737</v>
      </c>
      <c r="B685" s="2" t="s">
        <v>1739</v>
      </c>
      <c r="C685" s="2" t="s">
        <v>603</v>
      </c>
      <c r="D685" s="2" t="s">
        <v>608</v>
      </c>
      <c r="E685" s="2">
        <v>556</v>
      </c>
    </row>
    <row r="686" spans="1:5" x14ac:dyDescent="0.25">
      <c r="A686" s="2" t="s">
        <v>1737</v>
      </c>
      <c r="B686" s="2" t="s">
        <v>1739</v>
      </c>
      <c r="C686" s="2" t="s">
        <v>603</v>
      </c>
      <c r="D686" s="2" t="s">
        <v>609</v>
      </c>
      <c r="E686" s="2">
        <v>125</v>
      </c>
    </row>
    <row r="687" spans="1:5" x14ac:dyDescent="0.25">
      <c r="A687" s="2" t="s">
        <v>1737</v>
      </c>
      <c r="B687" s="2" t="s">
        <v>1739</v>
      </c>
      <c r="C687" s="2" t="s">
        <v>603</v>
      </c>
      <c r="D687" s="2" t="s">
        <v>610</v>
      </c>
      <c r="E687" s="2">
        <v>185</v>
      </c>
    </row>
    <row r="688" spans="1:5" x14ac:dyDescent="0.25">
      <c r="A688" s="2" t="s">
        <v>1737</v>
      </c>
      <c r="B688" s="2" t="s">
        <v>1739</v>
      </c>
      <c r="C688" s="2" t="s">
        <v>603</v>
      </c>
      <c r="D688" s="2" t="s">
        <v>611</v>
      </c>
      <c r="E688" s="2">
        <v>245</v>
      </c>
    </row>
    <row r="689" spans="1:5" x14ac:dyDescent="0.25">
      <c r="A689" s="2" t="s">
        <v>1737</v>
      </c>
      <c r="B689" s="2" t="s">
        <v>1739</v>
      </c>
      <c r="C689" s="2" t="s">
        <v>603</v>
      </c>
      <c r="D689" s="2" t="s">
        <v>612</v>
      </c>
      <c r="E689" s="2">
        <v>315</v>
      </c>
    </row>
    <row r="690" spans="1:5" x14ac:dyDescent="0.25">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21875" defaultRowHeight="10.199999999999999" x14ac:dyDescent="0.2"/>
  <cols>
    <col min="1" max="1" width="31.5546875" style="1586" customWidth="1"/>
    <col min="2" max="2" width="170.44140625" style="1586" bestFit="1" customWidth="1"/>
    <col min="3" max="3" width="9.21875" style="1586" customWidth="1"/>
    <col min="4" max="5" width="11.77734375" style="1586" customWidth="1"/>
    <col min="6" max="16384" width="7.21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4140625" defaultRowHeight="14.4" x14ac:dyDescent="0.3"/>
  <cols>
    <col min="2" max="2" width="13.44140625" bestFit="1" customWidth="1"/>
    <col min="3" max="3" width="32.44140625" customWidth="1"/>
    <col min="4" max="4" width="48" customWidth="1"/>
    <col min="5" max="5" width="44" customWidth="1"/>
    <col min="6" max="6" width="62" customWidth="1"/>
    <col min="7" max="7" width="55.21875" customWidth="1"/>
    <col min="8" max="8" width="56.21875" customWidth="1"/>
    <col min="9" max="9" width="62.44140625" customWidth="1"/>
  </cols>
  <sheetData>
    <row r="2" spans="2:9" ht="15" x14ac:dyDescent="0.3">
      <c r="B2" s="2048" t="s">
        <v>1111</v>
      </c>
      <c r="C2" s="2048"/>
      <c r="D2" s="2048"/>
      <c r="E2" s="2048"/>
      <c r="F2" s="2048" t="s">
        <v>1112</v>
      </c>
      <c r="G2" s="2048"/>
      <c r="H2" s="24" t="s">
        <v>1113</v>
      </c>
      <c r="I2" s="24" t="s">
        <v>1114</v>
      </c>
    </row>
    <row r="3" spans="2:9" x14ac:dyDescent="0.3">
      <c r="B3" s="25" t="s">
        <v>1115</v>
      </c>
      <c r="C3" s="25" t="s">
        <v>264</v>
      </c>
      <c r="D3" s="26" t="s">
        <v>290</v>
      </c>
      <c r="E3" s="26" t="s">
        <v>279</v>
      </c>
      <c r="F3" s="27" t="s">
        <v>265</v>
      </c>
      <c r="G3" s="27" t="s">
        <v>280</v>
      </c>
      <c r="H3" s="28" t="s">
        <v>282</v>
      </c>
      <c r="I3" s="28" t="s">
        <v>1116</v>
      </c>
    </row>
    <row r="4" spans="2:9" ht="110.4" x14ac:dyDescent="0.3">
      <c r="B4" s="29" t="s">
        <v>41</v>
      </c>
      <c r="C4" s="7" t="s">
        <v>1117</v>
      </c>
      <c r="D4" s="7" t="s">
        <v>1118</v>
      </c>
      <c r="E4" s="7" t="s">
        <v>1119</v>
      </c>
      <c r="F4" s="7" t="s">
        <v>1120</v>
      </c>
      <c r="G4" s="7" t="s">
        <v>1121</v>
      </c>
      <c r="H4" s="7" t="s">
        <v>1122</v>
      </c>
      <c r="I4" s="7" t="s">
        <v>1123</v>
      </c>
    </row>
    <row r="5" spans="2:9" ht="110.4" x14ac:dyDescent="0.3">
      <c r="B5" s="29" t="s">
        <v>39</v>
      </c>
      <c r="C5" s="7" t="s">
        <v>1124</v>
      </c>
      <c r="D5" s="7" t="s">
        <v>1125</v>
      </c>
      <c r="E5" s="7" t="s">
        <v>1126</v>
      </c>
      <c r="F5" s="7" t="s">
        <v>1127</v>
      </c>
      <c r="G5" s="7" t="s">
        <v>1128</v>
      </c>
      <c r="H5" s="7" t="s">
        <v>1129</v>
      </c>
      <c r="I5" s="7" t="s">
        <v>1130</v>
      </c>
    </row>
    <row r="6" spans="2:9" ht="165.6" x14ac:dyDescent="0.3">
      <c r="B6" s="29" t="s">
        <v>37</v>
      </c>
      <c r="C6" s="7" t="s">
        <v>1131</v>
      </c>
      <c r="D6" s="7" t="s">
        <v>1132</v>
      </c>
      <c r="E6" s="7" t="s">
        <v>1133</v>
      </c>
      <c r="F6" s="7" t="s">
        <v>1134</v>
      </c>
      <c r="G6" s="7" t="s">
        <v>1135</v>
      </c>
      <c r="H6" s="7" t="s">
        <v>1136</v>
      </c>
      <c r="I6" s="7" t="s">
        <v>1137</v>
      </c>
    </row>
    <row r="7" spans="2:9" ht="193.2" x14ac:dyDescent="0.3">
      <c r="B7" s="29" t="s">
        <v>35</v>
      </c>
      <c r="C7" s="7" t="s">
        <v>1138</v>
      </c>
      <c r="D7" s="7" t="s">
        <v>1139</v>
      </c>
      <c r="E7" s="7" t="s">
        <v>1140</v>
      </c>
      <c r="F7" s="7" t="s">
        <v>1141</v>
      </c>
      <c r="G7" s="7" t="s">
        <v>1142</v>
      </c>
      <c r="H7" s="7" t="s">
        <v>1143</v>
      </c>
      <c r="I7" s="7" t="s">
        <v>1144</v>
      </c>
    </row>
    <row r="8" spans="2:9" ht="124.2" x14ac:dyDescent="0.3">
      <c r="B8" s="29" t="s">
        <v>33</v>
      </c>
      <c r="C8" s="7" t="s">
        <v>1145</v>
      </c>
      <c r="D8" s="7" t="s">
        <v>1146</v>
      </c>
      <c r="E8" s="7" t="s">
        <v>1147</v>
      </c>
      <c r="F8" s="7" t="s">
        <v>1148</v>
      </c>
      <c r="G8" s="7" t="s">
        <v>1149</v>
      </c>
      <c r="H8" s="7" t="s">
        <v>1150</v>
      </c>
      <c r="I8" s="7" t="s">
        <v>1151</v>
      </c>
    </row>
    <row r="9" spans="2:9" ht="179.4" x14ac:dyDescent="0.3">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77734375" defaultRowHeight="13.8" x14ac:dyDescent="0.25"/>
  <cols>
    <col min="1" max="2" width="10.77734375" style="2"/>
    <col min="3" max="3" width="37" style="2" customWidth="1"/>
    <col min="4" max="4" width="31.44140625" style="2" bestFit="1" customWidth="1"/>
    <col min="5" max="5" width="37.44140625" style="2" bestFit="1" customWidth="1"/>
    <col min="6" max="7" width="10.77734375" style="2"/>
    <col min="8" max="8" width="11.21875" style="2" bestFit="1" customWidth="1"/>
    <col min="9" max="9" width="34.21875" style="2" bestFit="1" customWidth="1"/>
    <col min="10" max="16384" width="10.77734375" style="2"/>
  </cols>
  <sheetData>
    <row r="2" spans="2:9" x14ac:dyDescent="0.25">
      <c r="B2" s="30" t="s">
        <v>1159</v>
      </c>
      <c r="C2" s="30" t="s">
        <v>1160</v>
      </c>
      <c r="D2" s="30" t="s">
        <v>1161</v>
      </c>
      <c r="E2" s="30" t="s">
        <v>1162</v>
      </c>
      <c r="H2" s="2049" t="s">
        <v>1163</v>
      </c>
      <c r="I2" s="2049"/>
    </row>
    <row r="3" spans="2:9" x14ac:dyDescent="0.25">
      <c r="B3" s="3" t="s">
        <v>1164</v>
      </c>
      <c r="C3" s="3" t="s">
        <v>1165</v>
      </c>
      <c r="D3" s="3" t="s">
        <v>254</v>
      </c>
      <c r="E3" s="3" t="s">
        <v>1166</v>
      </c>
      <c r="H3" s="33" t="s">
        <v>1167</v>
      </c>
      <c r="I3" s="33" t="s">
        <v>264</v>
      </c>
    </row>
    <row r="4" spans="2:9" x14ac:dyDescent="0.25">
      <c r="B4" s="29" t="s">
        <v>1164</v>
      </c>
      <c r="C4" s="29" t="s">
        <v>1165</v>
      </c>
      <c r="D4" s="29" t="s">
        <v>254</v>
      </c>
      <c r="E4" s="29" t="s">
        <v>1168</v>
      </c>
      <c r="H4" s="33" t="s">
        <v>1167</v>
      </c>
      <c r="I4" s="29" t="s">
        <v>290</v>
      </c>
    </row>
    <row r="5" spans="2:9" x14ac:dyDescent="0.25">
      <c r="B5" s="29" t="s">
        <v>1164</v>
      </c>
      <c r="C5" s="29" t="s">
        <v>1165</v>
      </c>
      <c r="D5" s="29" t="s">
        <v>254</v>
      </c>
      <c r="E5" s="29" t="s">
        <v>1169</v>
      </c>
      <c r="H5" s="33" t="s">
        <v>1167</v>
      </c>
      <c r="I5" s="29" t="s">
        <v>279</v>
      </c>
    </row>
    <row r="6" spans="2:9" x14ac:dyDescent="0.25">
      <c r="B6" s="29" t="s">
        <v>1164</v>
      </c>
      <c r="C6" s="29" t="s">
        <v>1165</v>
      </c>
      <c r="D6" s="29" t="s">
        <v>254</v>
      </c>
      <c r="E6" s="29" t="s">
        <v>1170</v>
      </c>
      <c r="H6" s="33" t="s">
        <v>1171</v>
      </c>
      <c r="I6" s="29" t="s">
        <v>265</v>
      </c>
    </row>
    <row r="7" spans="2:9" x14ac:dyDescent="0.25">
      <c r="B7" s="29" t="s">
        <v>1164</v>
      </c>
      <c r="C7" s="29" t="s">
        <v>1165</v>
      </c>
      <c r="D7" s="29" t="s">
        <v>261</v>
      </c>
      <c r="E7" s="29" t="s">
        <v>1172</v>
      </c>
      <c r="H7" s="33" t="s">
        <v>1171</v>
      </c>
      <c r="I7" s="29" t="s">
        <v>280</v>
      </c>
    </row>
    <row r="8" spans="2:9" x14ac:dyDescent="0.25">
      <c r="B8" s="29" t="s">
        <v>1164</v>
      </c>
      <c r="C8" s="29" t="s">
        <v>1165</v>
      </c>
      <c r="D8" s="29" t="s">
        <v>261</v>
      </c>
      <c r="E8" s="29" t="s">
        <v>336</v>
      </c>
      <c r="H8" s="33" t="s">
        <v>282</v>
      </c>
      <c r="I8" s="29" t="s">
        <v>1173</v>
      </c>
    </row>
    <row r="9" spans="2:9" x14ac:dyDescent="0.25">
      <c r="B9" s="29" t="s">
        <v>1164</v>
      </c>
      <c r="C9" s="29" t="s">
        <v>1165</v>
      </c>
      <c r="D9" s="29" t="s">
        <v>261</v>
      </c>
      <c r="E9" s="29" t="s">
        <v>1174</v>
      </c>
      <c r="H9" s="71" t="s">
        <v>267</v>
      </c>
      <c r="I9" s="72" t="s">
        <v>1175</v>
      </c>
    </row>
    <row r="10" spans="2:9" x14ac:dyDescent="0.25">
      <c r="B10" s="29" t="s">
        <v>1164</v>
      </c>
      <c r="C10" s="29" t="s">
        <v>1165</v>
      </c>
      <c r="D10" s="29" t="s">
        <v>261</v>
      </c>
      <c r="E10" s="29" t="s">
        <v>1176</v>
      </c>
      <c r="H10" s="73" t="s">
        <v>16</v>
      </c>
      <c r="I10" s="73" t="s">
        <v>1177</v>
      </c>
    </row>
    <row r="11" spans="2:9" x14ac:dyDescent="0.25">
      <c r="B11" s="29" t="s">
        <v>1164</v>
      </c>
      <c r="C11" s="29" t="s">
        <v>1165</v>
      </c>
      <c r="D11" s="29" t="s">
        <v>261</v>
      </c>
      <c r="E11" s="29" t="s">
        <v>1178</v>
      </c>
      <c r="H11" s="73"/>
      <c r="I11" s="73" t="s">
        <v>1179</v>
      </c>
    </row>
    <row r="12" spans="2:9" x14ac:dyDescent="0.25">
      <c r="B12" s="29" t="s">
        <v>1164</v>
      </c>
      <c r="C12" s="29" t="s">
        <v>1165</v>
      </c>
      <c r="D12" s="29" t="s">
        <v>274</v>
      </c>
      <c r="E12" s="29" t="s">
        <v>1180</v>
      </c>
      <c r="H12" s="73"/>
      <c r="I12" s="73" t="s">
        <v>1181</v>
      </c>
    </row>
    <row r="13" spans="2:9" x14ac:dyDescent="0.25">
      <c r="B13" s="29" t="s">
        <v>1164</v>
      </c>
      <c r="C13" s="29" t="s">
        <v>1165</v>
      </c>
      <c r="D13" s="29" t="s">
        <v>274</v>
      </c>
      <c r="E13" s="29" t="s">
        <v>1182</v>
      </c>
      <c r="H13" s="73"/>
      <c r="I13" s="73" t="s">
        <v>1183</v>
      </c>
    </row>
    <row r="14" spans="2:9" x14ac:dyDescent="0.25">
      <c r="B14" s="29" t="s">
        <v>1164</v>
      </c>
      <c r="C14" s="29" t="s">
        <v>1165</v>
      </c>
      <c r="D14" s="29" t="s">
        <v>274</v>
      </c>
      <c r="E14" s="29" t="s">
        <v>1184</v>
      </c>
      <c r="H14" s="73"/>
      <c r="I14" s="73" t="s">
        <v>1185</v>
      </c>
    </row>
    <row r="15" spans="2:9" x14ac:dyDescent="0.25">
      <c r="B15" s="29" t="s">
        <v>1164</v>
      </c>
      <c r="C15" s="29" t="s">
        <v>1165</v>
      </c>
      <c r="D15" s="29" t="s">
        <v>274</v>
      </c>
      <c r="E15" s="29" t="s">
        <v>1186</v>
      </c>
      <c r="H15" s="73"/>
      <c r="I15" s="73" t="s">
        <v>1187</v>
      </c>
    </row>
    <row r="16" spans="2:9" x14ac:dyDescent="0.25">
      <c r="B16" s="29" t="s">
        <v>1164</v>
      </c>
      <c r="C16" s="29" t="s">
        <v>1165</v>
      </c>
      <c r="D16" s="29" t="s">
        <v>274</v>
      </c>
      <c r="E16" s="29" t="s">
        <v>1188</v>
      </c>
      <c r="H16" s="73"/>
      <c r="I16" s="73" t="s">
        <v>1189</v>
      </c>
    </row>
    <row r="17" spans="2:9" x14ac:dyDescent="0.25">
      <c r="B17" s="29" t="s">
        <v>1164</v>
      </c>
      <c r="C17" s="29" t="s">
        <v>1190</v>
      </c>
      <c r="D17" s="29" t="s">
        <v>287</v>
      </c>
      <c r="E17" s="34"/>
      <c r="H17" s="73"/>
      <c r="I17" s="73" t="s">
        <v>1191</v>
      </c>
    </row>
    <row r="18" spans="2:9" x14ac:dyDescent="0.25">
      <c r="B18" s="29" t="s">
        <v>1192</v>
      </c>
      <c r="C18" s="29" t="s">
        <v>1193</v>
      </c>
      <c r="D18" s="29" t="s">
        <v>296</v>
      </c>
      <c r="E18" s="29" t="s">
        <v>1194</v>
      </c>
      <c r="H18" s="73"/>
      <c r="I18" s="73" t="s">
        <v>1195</v>
      </c>
    </row>
    <row r="19" spans="2:9" x14ac:dyDescent="0.25">
      <c r="B19" s="29" t="s">
        <v>1192</v>
      </c>
      <c r="C19" s="29" t="s">
        <v>1193</v>
      </c>
      <c r="D19" s="29" t="s">
        <v>296</v>
      </c>
      <c r="E19" s="29" t="s">
        <v>1196</v>
      </c>
      <c r="H19" s="73" t="s">
        <v>1197</v>
      </c>
      <c r="I19" s="73" t="s">
        <v>1198</v>
      </c>
    </row>
    <row r="20" spans="2:9" x14ac:dyDescent="0.25">
      <c r="B20" s="29" t="s">
        <v>1192</v>
      </c>
      <c r="C20" s="29" t="s">
        <v>1193</v>
      </c>
      <c r="D20" s="29" t="s">
        <v>304</v>
      </c>
      <c r="E20" s="29" t="s">
        <v>1199</v>
      </c>
      <c r="H20" s="73" t="s">
        <v>16</v>
      </c>
      <c r="I20" s="73" t="s">
        <v>1200</v>
      </c>
    </row>
    <row r="21" spans="2:9" x14ac:dyDescent="0.25">
      <c r="B21" s="29" t="s">
        <v>1192</v>
      </c>
      <c r="C21" s="29" t="s">
        <v>1193</v>
      </c>
      <c r="D21" s="29" t="s">
        <v>304</v>
      </c>
      <c r="E21" s="29" t="s">
        <v>1201</v>
      </c>
      <c r="H21" s="73" t="s">
        <v>1197</v>
      </c>
      <c r="I21" s="73" t="s">
        <v>1202</v>
      </c>
    </row>
    <row r="22" spans="2:9" x14ac:dyDescent="0.25">
      <c r="B22" s="29" t="s">
        <v>204</v>
      </c>
      <c r="C22" s="29"/>
      <c r="D22" s="35" t="s">
        <v>262</v>
      </c>
      <c r="E22" s="36" t="s">
        <v>1203</v>
      </c>
      <c r="H22" s="33" t="s">
        <v>1171</v>
      </c>
      <c r="I22" s="73" t="s">
        <v>1204</v>
      </c>
    </row>
    <row r="23" spans="2:9" x14ac:dyDescent="0.25">
      <c r="B23" s="29" t="s">
        <v>204</v>
      </c>
      <c r="C23" s="29"/>
      <c r="D23" s="35" t="s">
        <v>262</v>
      </c>
      <c r="E23" s="36" t="s">
        <v>1205</v>
      </c>
      <c r="H23" s="33" t="s">
        <v>1171</v>
      </c>
      <c r="I23" s="73" t="s">
        <v>1206</v>
      </c>
    </row>
    <row r="24" spans="2:9" x14ac:dyDescent="0.25">
      <c r="B24" s="29" t="s">
        <v>204</v>
      </c>
      <c r="C24" s="29"/>
      <c r="D24" s="35" t="s">
        <v>262</v>
      </c>
      <c r="E24" s="36" t="s">
        <v>1207</v>
      </c>
      <c r="H24" s="73"/>
      <c r="I24" s="73"/>
    </row>
    <row r="25" spans="2:9" x14ac:dyDescent="0.25">
      <c r="B25" s="29" t="s">
        <v>204</v>
      </c>
      <c r="C25" s="29"/>
      <c r="D25" s="35" t="s">
        <v>262</v>
      </c>
      <c r="E25" s="36" t="s">
        <v>1208</v>
      </c>
    </row>
    <row r="26" spans="2:9" x14ac:dyDescent="0.25">
      <c r="B26" s="29" t="s">
        <v>204</v>
      </c>
      <c r="C26" s="29"/>
      <c r="D26" s="35" t="s">
        <v>262</v>
      </c>
      <c r="E26" s="36" t="s">
        <v>1209</v>
      </c>
    </row>
    <row r="27" spans="2:9" x14ac:dyDescent="0.25">
      <c r="B27" s="29" t="s">
        <v>204</v>
      </c>
      <c r="C27" s="29"/>
      <c r="D27" s="35" t="s">
        <v>262</v>
      </c>
      <c r="E27" s="36" t="s">
        <v>1210</v>
      </c>
    </row>
    <row r="28" spans="2:9" x14ac:dyDescent="0.25">
      <c r="B28" s="29" t="s">
        <v>204</v>
      </c>
      <c r="C28" s="29"/>
      <c r="D28" s="35" t="s">
        <v>262</v>
      </c>
      <c r="E28" s="36" t="s">
        <v>1211</v>
      </c>
    </row>
    <row r="29" spans="2:9" x14ac:dyDescent="0.25">
      <c r="B29" s="29" t="s">
        <v>204</v>
      </c>
      <c r="C29" s="29"/>
      <c r="D29" s="35" t="s">
        <v>262</v>
      </c>
      <c r="E29" s="36" t="s">
        <v>1212</v>
      </c>
    </row>
    <row r="30" spans="2:9" x14ac:dyDescent="0.25">
      <c r="B30" s="29" t="s">
        <v>204</v>
      </c>
      <c r="C30" s="29"/>
      <c r="D30" s="35" t="s">
        <v>262</v>
      </c>
      <c r="E30" s="36" t="s">
        <v>1213</v>
      </c>
    </row>
    <row r="31" spans="2:9" x14ac:dyDescent="0.25">
      <c r="B31" s="29" t="s">
        <v>204</v>
      </c>
      <c r="C31" s="29"/>
      <c r="D31" s="35" t="s">
        <v>317</v>
      </c>
      <c r="E31" s="36" t="s">
        <v>1214</v>
      </c>
    </row>
    <row r="32" spans="2:9" x14ac:dyDescent="0.25">
      <c r="B32" s="29" t="s">
        <v>204</v>
      </c>
      <c r="C32" s="29"/>
      <c r="D32" s="35" t="s">
        <v>317</v>
      </c>
      <c r="E32" s="36" t="s">
        <v>1215</v>
      </c>
    </row>
    <row r="33" spans="2:5" x14ac:dyDescent="0.25">
      <c r="B33" s="29" t="s">
        <v>204</v>
      </c>
      <c r="C33" s="29"/>
      <c r="D33" s="35" t="s">
        <v>317</v>
      </c>
      <c r="E33" s="36" t="s">
        <v>1216</v>
      </c>
    </row>
    <row r="34" spans="2:5" x14ac:dyDescent="0.25">
      <c r="B34" s="29" t="s">
        <v>204</v>
      </c>
      <c r="C34" s="29"/>
      <c r="D34" s="35" t="s">
        <v>317</v>
      </c>
      <c r="E34" s="36" t="s">
        <v>1217</v>
      </c>
    </row>
    <row r="35" spans="2:5" x14ac:dyDescent="0.25">
      <c r="B35" s="29" t="s">
        <v>204</v>
      </c>
      <c r="C35" s="29"/>
      <c r="D35" s="35" t="s">
        <v>317</v>
      </c>
      <c r="E35" s="36" t="s">
        <v>1218</v>
      </c>
    </row>
    <row r="36" spans="2:5" x14ac:dyDescent="0.25">
      <c r="B36" s="29" t="s">
        <v>204</v>
      </c>
      <c r="C36" s="29"/>
      <c r="D36" s="35" t="s">
        <v>317</v>
      </c>
      <c r="E36" s="36" t="s">
        <v>290</v>
      </c>
    </row>
    <row r="37" spans="2:5" x14ac:dyDescent="0.25">
      <c r="B37" s="29" t="s">
        <v>204</v>
      </c>
      <c r="C37" s="29"/>
      <c r="D37" s="35" t="s">
        <v>317</v>
      </c>
      <c r="E37" s="36" t="s">
        <v>1219</v>
      </c>
    </row>
    <row r="38" spans="2:5" x14ac:dyDescent="0.25">
      <c r="B38" s="29" t="s">
        <v>204</v>
      </c>
      <c r="C38" s="29"/>
      <c r="D38" s="35" t="s">
        <v>317</v>
      </c>
      <c r="E38" s="36" t="s">
        <v>1220</v>
      </c>
    </row>
    <row r="39" spans="2:5" x14ac:dyDescent="0.25">
      <c r="B39" s="29" t="s">
        <v>204</v>
      </c>
      <c r="C39" s="29" t="s">
        <v>1221</v>
      </c>
      <c r="D39" s="37" t="s">
        <v>322</v>
      </c>
      <c r="E39" s="37" t="s">
        <v>322</v>
      </c>
    </row>
    <row r="40" spans="2:5" x14ac:dyDescent="0.25">
      <c r="B40" s="29" t="s">
        <v>204</v>
      </c>
      <c r="C40" s="29" t="s">
        <v>1222</v>
      </c>
      <c r="D40" s="37" t="s">
        <v>325</v>
      </c>
      <c r="E40" s="37" t="s">
        <v>1178</v>
      </c>
    </row>
    <row r="41" spans="2:5" x14ac:dyDescent="0.25">
      <c r="B41" s="29" t="s">
        <v>204</v>
      </c>
      <c r="C41" s="29" t="s">
        <v>1222</v>
      </c>
      <c r="D41" s="37" t="s">
        <v>325</v>
      </c>
      <c r="E41" s="37" t="s">
        <v>1223</v>
      </c>
    </row>
    <row r="42" spans="2:5" x14ac:dyDescent="0.25">
      <c r="B42" s="29" t="s">
        <v>204</v>
      </c>
      <c r="C42" s="29" t="s">
        <v>1222</v>
      </c>
      <c r="D42" s="37" t="s">
        <v>325</v>
      </c>
      <c r="E42" s="37" t="s">
        <v>1174</v>
      </c>
    </row>
    <row r="43" spans="2:5" x14ac:dyDescent="0.25">
      <c r="B43" s="29" t="s">
        <v>204</v>
      </c>
      <c r="C43" s="29" t="s">
        <v>1222</v>
      </c>
      <c r="D43" s="37" t="s">
        <v>325</v>
      </c>
      <c r="E43" s="37" t="s">
        <v>1172</v>
      </c>
    </row>
    <row r="44" spans="2:5" x14ac:dyDescent="0.25">
      <c r="B44" s="29" t="s">
        <v>204</v>
      </c>
      <c r="C44" s="29"/>
      <c r="D44" s="35" t="s">
        <v>288</v>
      </c>
      <c r="E44" s="36" t="s">
        <v>1224</v>
      </c>
    </row>
    <row r="45" spans="2:5" x14ac:dyDescent="0.25">
      <c r="B45" s="29" t="s">
        <v>204</v>
      </c>
      <c r="C45" s="29"/>
      <c r="D45" s="35" t="s">
        <v>288</v>
      </c>
      <c r="E45" s="36" t="s">
        <v>1225</v>
      </c>
    </row>
    <row r="46" spans="2:5" x14ac:dyDescent="0.25">
      <c r="B46" s="29" t="s">
        <v>204</v>
      </c>
      <c r="C46" s="29"/>
      <c r="D46" s="35" t="s">
        <v>288</v>
      </c>
      <c r="E46" s="36" t="s">
        <v>1226</v>
      </c>
    </row>
    <row r="47" spans="2:5" x14ac:dyDescent="0.25">
      <c r="B47" s="29" t="s">
        <v>204</v>
      </c>
      <c r="C47" s="29"/>
      <c r="D47" s="35" t="s">
        <v>288</v>
      </c>
      <c r="E47" s="36" t="s">
        <v>1227</v>
      </c>
    </row>
    <row r="48" spans="2:5" x14ac:dyDescent="0.25">
      <c r="B48" s="29" t="s">
        <v>204</v>
      </c>
      <c r="C48" s="29"/>
      <c r="D48" s="35" t="s">
        <v>288</v>
      </c>
      <c r="E48" s="36" t="s">
        <v>1228</v>
      </c>
    </row>
    <row r="49" spans="2:5" x14ac:dyDescent="0.25">
      <c r="B49" s="29" t="s">
        <v>204</v>
      </c>
      <c r="C49" s="29"/>
      <c r="D49" s="35" t="s">
        <v>288</v>
      </c>
      <c r="E49" s="36" t="s">
        <v>1229</v>
      </c>
    </row>
    <row r="50" spans="2:5" x14ac:dyDescent="0.25">
      <c r="B50" s="29" t="s">
        <v>204</v>
      </c>
      <c r="C50" s="29"/>
      <c r="D50" s="35" t="s">
        <v>288</v>
      </c>
      <c r="E50" s="36" t="s">
        <v>1230</v>
      </c>
    </row>
    <row r="51" spans="2:5" x14ac:dyDescent="0.25">
      <c r="B51" s="29" t="s">
        <v>204</v>
      </c>
      <c r="C51" s="29"/>
      <c r="D51" s="35" t="s">
        <v>288</v>
      </c>
      <c r="E51" s="36" t="s">
        <v>318</v>
      </c>
    </row>
    <row r="52" spans="2:5" x14ac:dyDescent="0.25">
      <c r="B52" s="29" t="s">
        <v>204</v>
      </c>
      <c r="C52" s="29" t="s">
        <v>1222</v>
      </c>
      <c r="D52" s="37" t="s">
        <v>331</v>
      </c>
      <c r="E52" s="38" t="s">
        <v>1231</v>
      </c>
    </row>
    <row r="53" spans="2:5" x14ac:dyDescent="0.25">
      <c r="B53" s="29" t="s">
        <v>204</v>
      </c>
      <c r="C53" s="29"/>
      <c r="D53" s="35" t="s">
        <v>276</v>
      </c>
      <c r="E53" s="35" t="s">
        <v>1232</v>
      </c>
    </row>
    <row r="54" spans="2:5" x14ac:dyDescent="0.25">
      <c r="B54" s="29" t="s">
        <v>204</v>
      </c>
      <c r="C54" s="29"/>
      <c r="D54" s="35" t="s">
        <v>276</v>
      </c>
      <c r="E54" s="35" t="s">
        <v>1233</v>
      </c>
    </row>
    <row r="55" spans="2:5" x14ac:dyDescent="0.25">
      <c r="B55" s="29" t="s">
        <v>204</v>
      </c>
      <c r="C55" s="29"/>
      <c r="D55" s="35" t="s">
        <v>276</v>
      </c>
      <c r="E55" s="35" t="s">
        <v>1234</v>
      </c>
    </row>
    <row r="56" spans="2:5" x14ac:dyDescent="0.25">
      <c r="B56" s="29" t="s">
        <v>204</v>
      </c>
      <c r="C56" s="29"/>
      <c r="D56" s="35" t="s">
        <v>276</v>
      </c>
      <c r="E56" s="35" t="s">
        <v>1235</v>
      </c>
    </row>
    <row r="57" spans="2:5" x14ac:dyDescent="0.25">
      <c r="B57" s="29" t="s">
        <v>204</v>
      </c>
      <c r="C57" s="29"/>
      <c r="D57" s="35" t="s">
        <v>276</v>
      </c>
      <c r="E57" s="35" t="s">
        <v>1236</v>
      </c>
    </row>
    <row r="58" spans="2:5" x14ac:dyDescent="0.25">
      <c r="B58" s="29" t="s">
        <v>204</v>
      </c>
      <c r="C58" s="29"/>
      <c r="D58" s="35" t="s">
        <v>276</v>
      </c>
      <c r="E58" s="35" t="s">
        <v>1237</v>
      </c>
    </row>
    <row r="59" spans="2:5" x14ac:dyDescent="0.25">
      <c r="B59" s="29" t="s">
        <v>204</v>
      </c>
      <c r="C59" s="29"/>
      <c r="D59" s="35" t="s">
        <v>276</v>
      </c>
      <c r="E59" s="35" t="s">
        <v>1238</v>
      </c>
    </row>
    <row r="60" spans="2:5" x14ac:dyDescent="0.25">
      <c r="B60" s="29" t="s">
        <v>204</v>
      </c>
      <c r="C60" s="29"/>
      <c r="D60" s="35" t="s">
        <v>276</v>
      </c>
      <c r="E60" s="35" t="s">
        <v>1239</v>
      </c>
    </row>
    <row r="61" spans="2:5" x14ac:dyDescent="0.25">
      <c r="B61" s="29" t="s">
        <v>204</v>
      </c>
      <c r="C61" s="29"/>
      <c r="D61" s="35" t="s">
        <v>276</v>
      </c>
      <c r="E61" s="35" t="s">
        <v>1240</v>
      </c>
    </row>
    <row r="62" spans="2:5" x14ac:dyDescent="0.25">
      <c r="B62" s="29" t="s">
        <v>204</v>
      </c>
      <c r="C62" s="29" t="s">
        <v>1222</v>
      </c>
      <c r="D62" s="37" t="s">
        <v>334</v>
      </c>
      <c r="E62" s="37" t="s">
        <v>1186</v>
      </c>
    </row>
    <row r="63" spans="2:5" x14ac:dyDescent="0.25">
      <c r="B63" s="29" t="s">
        <v>204</v>
      </c>
      <c r="C63" s="29" t="s">
        <v>1222</v>
      </c>
      <c r="D63" s="37" t="s">
        <v>334</v>
      </c>
      <c r="E63" s="37" t="s">
        <v>1188</v>
      </c>
    </row>
    <row r="64" spans="2:5" x14ac:dyDescent="0.25">
      <c r="B64" s="29" t="s">
        <v>204</v>
      </c>
      <c r="C64" s="29" t="s">
        <v>1222</v>
      </c>
      <c r="D64" s="37" t="s">
        <v>334</v>
      </c>
      <c r="E64" s="37" t="s">
        <v>1184</v>
      </c>
    </row>
    <row r="65" spans="2:5" x14ac:dyDescent="0.25">
      <c r="B65" s="29" t="s">
        <v>204</v>
      </c>
      <c r="C65" s="29" t="s">
        <v>1222</v>
      </c>
      <c r="D65" s="37" t="s">
        <v>334</v>
      </c>
      <c r="E65" s="37" t="s">
        <v>1241</v>
      </c>
    </row>
    <row r="66" spans="2:5" x14ac:dyDescent="0.25">
      <c r="B66" s="29" t="s">
        <v>204</v>
      </c>
      <c r="C66" s="29" t="s">
        <v>1222</v>
      </c>
      <c r="D66" s="37" t="s">
        <v>334</v>
      </c>
      <c r="E66" s="37" t="s">
        <v>1242</v>
      </c>
    </row>
    <row r="67" spans="2:5" x14ac:dyDescent="0.25">
      <c r="B67" s="29" t="s">
        <v>204</v>
      </c>
      <c r="C67" s="29"/>
      <c r="D67" s="35" t="s">
        <v>336</v>
      </c>
      <c r="E67" s="36" t="s">
        <v>336</v>
      </c>
    </row>
    <row r="68" spans="2:5" x14ac:dyDescent="0.25">
      <c r="B68" s="29" t="s">
        <v>1243</v>
      </c>
      <c r="C68" s="29" t="s">
        <v>1244</v>
      </c>
      <c r="D68" s="29" t="s">
        <v>1245</v>
      </c>
      <c r="E68" s="29" t="s">
        <v>1246</v>
      </c>
    </row>
    <row r="69" spans="2:5" x14ac:dyDescent="0.25">
      <c r="B69" s="29" t="s">
        <v>1243</v>
      </c>
      <c r="C69" s="29" t="s">
        <v>1244</v>
      </c>
      <c r="D69" s="29" t="s">
        <v>1245</v>
      </c>
      <c r="E69" s="29" t="s">
        <v>1247</v>
      </c>
    </row>
    <row r="70" spans="2:5" x14ac:dyDescent="0.25">
      <c r="B70" s="29" t="s">
        <v>1243</v>
      </c>
      <c r="C70" s="29" t="s">
        <v>1244</v>
      </c>
      <c r="D70" s="29" t="s">
        <v>1245</v>
      </c>
      <c r="E70" s="29" t="s">
        <v>1248</v>
      </c>
    </row>
    <row r="71" spans="2:5" x14ac:dyDescent="0.25">
      <c r="B71" s="29" t="s">
        <v>1243</v>
      </c>
      <c r="C71" s="29" t="s">
        <v>1244</v>
      </c>
      <c r="D71" s="29" t="s">
        <v>1249</v>
      </c>
      <c r="E71" s="29"/>
    </row>
    <row r="72" spans="2:5" x14ac:dyDescent="0.25">
      <c r="B72" s="29" t="s">
        <v>1243</v>
      </c>
      <c r="C72" s="29" t="s">
        <v>1244</v>
      </c>
      <c r="D72" s="29" t="s">
        <v>1250</v>
      </c>
      <c r="E72" s="29"/>
    </row>
    <row r="73" spans="2:5" x14ac:dyDescent="0.25">
      <c r="B73" s="29" t="s">
        <v>1164</v>
      </c>
      <c r="C73" s="29" t="s">
        <v>1251</v>
      </c>
      <c r="D73" s="29" t="s">
        <v>338</v>
      </c>
      <c r="E73" s="34"/>
    </row>
    <row r="74" spans="2:5" x14ac:dyDescent="0.25">
      <c r="B74" s="29" t="s">
        <v>1164</v>
      </c>
      <c r="C74" s="29" t="s">
        <v>1251</v>
      </c>
      <c r="D74" s="29" t="s">
        <v>340</v>
      </c>
      <c r="E74" s="34"/>
    </row>
    <row r="75" spans="2:5" x14ac:dyDescent="0.25">
      <c r="B75" s="29" t="s">
        <v>1164</v>
      </c>
      <c r="C75" s="29" t="s">
        <v>1251</v>
      </c>
      <c r="D75" s="29" t="s">
        <v>342</v>
      </c>
      <c r="E75" s="34"/>
    </row>
    <row r="76" spans="2:5" x14ac:dyDescent="0.25">
      <c r="B76" s="29" t="s">
        <v>1164</v>
      </c>
      <c r="C76" s="29" t="s">
        <v>1251</v>
      </c>
      <c r="D76" s="29" t="s">
        <v>344</v>
      </c>
      <c r="E76" s="34"/>
    </row>
    <row r="77" spans="2:5" x14ac:dyDescent="0.25">
      <c r="B77" s="29" t="s">
        <v>1164</v>
      </c>
      <c r="C77" s="29" t="s">
        <v>1251</v>
      </c>
      <c r="D77" s="29" t="s">
        <v>347</v>
      </c>
      <c r="E77" s="34"/>
    </row>
    <row r="78" spans="2:5" x14ac:dyDescent="0.25">
      <c r="B78" s="29" t="s">
        <v>1164</v>
      </c>
      <c r="C78" s="29" t="s">
        <v>1251</v>
      </c>
      <c r="D78" s="29" t="s">
        <v>349</v>
      </c>
      <c r="E78" s="34"/>
    </row>
    <row r="79" spans="2:5" x14ac:dyDescent="0.25">
      <c r="B79" s="29" t="s">
        <v>1164</v>
      </c>
      <c r="C79" s="29" t="s">
        <v>1251</v>
      </c>
      <c r="D79" s="29" t="s">
        <v>351</v>
      </c>
      <c r="E79" s="34"/>
    </row>
    <row r="80" spans="2:5" x14ac:dyDescent="0.25">
      <c r="B80" s="29" t="s">
        <v>1252</v>
      </c>
      <c r="C80" s="29" t="s">
        <v>1222</v>
      </c>
      <c r="D80" s="29" t="s">
        <v>354</v>
      </c>
      <c r="E80" s="29" t="s">
        <v>1253</v>
      </c>
    </row>
    <row r="81" spans="2:5" x14ac:dyDescent="0.25">
      <c r="B81" s="29" t="s">
        <v>1252</v>
      </c>
      <c r="C81" s="29" t="s">
        <v>1222</v>
      </c>
      <c r="D81" s="29" t="s">
        <v>354</v>
      </c>
      <c r="E81" s="29" t="s">
        <v>336</v>
      </c>
    </row>
    <row r="82" spans="2:5" x14ac:dyDescent="0.25">
      <c r="B82" s="29" t="s">
        <v>1252</v>
      </c>
      <c r="C82" s="29" t="s">
        <v>1222</v>
      </c>
      <c r="D82" s="29" t="s">
        <v>354</v>
      </c>
      <c r="E82" s="29" t="s">
        <v>1174</v>
      </c>
    </row>
    <row r="83" spans="2:5" x14ac:dyDescent="0.25">
      <c r="B83" s="29" t="s">
        <v>1252</v>
      </c>
      <c r="C83" s="29" t="s">
        <v>1222</v>
      </c>
      <c r="D83" s="29" t="s">
        <v>354</v>
      </c>
      <c r="E83" s="29" t="s">
        <v>1176</v>
      </c>
    </row>
    <row r="84" spans="2:5" x14ac:dyDescent="0.25">
      <c r="B84" s="29" t="s">
        <v>1252</v>
      </c>
      <c r="C84" s="29" t="s">
        <v>1222</v>
      </c>
      <c r="D84" s="29" t="s">
        <v>354</v>
      </c>
      <c r="E84" s="29" t="s">
        <v>1178</v>
      </c>
    </row>
    <row r="85" spans="2:5" x14ac:dyDescent="0.25">
      <c r="B85" s="29" t="s">
        <v>1252</v>
      </c>
      <c r="C85" s="29" t="s">
        <v>1222</v>
      </c>
      <c r="D85" s="29" t="s">
        <v>356</v>
      </c>
      <c r="E85" s="29" t="s">
        <v>1170</v>
      </c>
    </row>
    <row r="86" spans="2:5" x14ac:dyDescent="0.25">
      <c r="B86" s="29" t="s">
        <v>1192</v>
      </c>
      <c r="C86" s="29" t="s">
        <v>1254</v>
      </c>
      <c r="D86" s="29" t="s">
        <v>358</v>
      </c>
      <c r="E86" s="29" t="s">
        <v>1255</v>
      </c>
    </row>
    <row r="87" spans="2:5" x14ac:dyDescent="0.25">
      <c r="B87" s="29" t="s">
        <v>1192</v>
      </c>
      <c r="C87" s="29" t="s">
        <v>1254</v>
      </c>
      <c r="D87" s="29" t="s">
        <v>358</v>
      </c>
      <c r="E87" s="29" t="s">
        <v>1256</v>
      </c>
    </row>
    <row r="88" spans="2:5" x14ac:dyDescent="0.25">
      <c r="B88" s="29" t="s">
        <v>1192</v>
      </c>
      <c r="C88" s="29" t="s">
        <v>1254</v>
      </c>
      <c r="D88" s="29" t="s">
        <v>358</v>
      </c>
      <c r="E88" s="29" t="s">
        <v>1257</v>
      </c>
    </row>
    <row r="89" spans="2:5" x14ac:dyDescent="0.25">
      <c r="B89" s="29" t="s">
        <v>1192</v>
      </c>
      <c r="C89" s="29" t="s">
        <v>1254</v>
      </c>
      <c r="D89" s="29" t="s">
        <v>360</v>
      </c>
      <c r="E89" s="29" t="s">
        <v>1258</v>
      </c>
    </row>
    <row r="90" spans="2:5" x14ac:dyDescent="0.25">
      <c r="B90" s="29" t="s">
        <v>1192</v>
      </c>
      <c r="C90" s="29" t="s">
        <v>1254</v>
      </c>
      <c r="D90" s="29" t="s">
        <v>360</v>
      </c>
      <c r="E90" s="29" t="s">
        <v>1259</v>
      </c>
    </row>
    <row r="91" spans="2:5" x14ac:dyDescent="0.25">
      <c r="B91" s="29" t="s">
        <v>1192</v>
      </c>
      <c r="C91" s="29" t="s">
        <v>1254</v>
      </c>
      <c r="D91" s="29" t="s">
        <v>362</v>
      </c>
      <c r="E91" s="29" t="s">
        <v>1260</v>
      </c>
    </row>
    <row r="92" spans="2:5" x14ac:dyDescent="0.25">
      <c r="B92" s="29" t="s">
        <v>1192</v>
      </c>
      <c r="C92" s="29" t="s">
        <v>1254</v>
      </c>
      <c r="D92" s="29" t="s">
        <v>362</v>
      </c>
      <c r="E92" s="29" t="s">
        <v>1261</v>
      </c>
    </row>
    <row r="93" spans="2:5" x14ac:dyDescent="0.25">
      <c r="B93" s="29" t="s">
        <v>1192</v>
      </c>
      <c r="C93" s="29" t="s">
        <v>1254</v>
      </c>
      <c r="D93" s="29" t="s">
        <v>362</v>
      </c>
      <c r="E93" s="29" t="s">
        <v>1262</v>
      </c>
    </row>
    <row r="94" spans="2:5" x14ac:dyDescent="0.25">
      <c r="B94" s="29" t="s">
        <v>1192</v>
      </c>
      <c r="C94" s="29" t="s">
        <v>1254</v>
      </c>
      <c r="D94" s="29" t="s">
        <v>364</v>
      </c>
      <c r="E94" s="29" t="s">
        <v>1263</v>
      </c>
    </row>
    <row r="95" spans="2:5" x14ac:dyDescent="0.25">
      <c r="B95" s="29" t="s">
        <v>1192</v>
      </c>
      <c r="C95" s="29" t="s">
        <v>1254</v>
      </c>
      <c r="D95" s="29" t="s">
        <v>364</v>
      </c>
      <c r="E95" s="29" t="s">
        <v>1264</v>
      </c>
    </row>
    <row r="96" spans="2:5" x14ac:dyDescent="0.25">
      <c r="B96" s="29" t="s">
        <v>1192</v>
      </c>
      <c r="C96" s="29" t="s">
        <v>1254</v>
      </c>
      <c r="D96" s="29" t="s">
        <v>366</v>
      </c>
      <c r="E96" s="29" t="s">
        <v>1265</v>
      </c>
    </row>
    <row r="97" spans="2:5" x14ac:dyDescent="0.25">
      <c r="B97" s="29" t="s">
        <v>1192</v>
      </c>
      <c r="C97" s="29" t="s">
        <v>1254</v>
      </c>
      <c r="D97" s="29" t="s">
        <v>366</v>
      </c>
      <c r="E97" s="29" t="s">
        <v>1266</v>
      </c>
    </row>
    <row r="98" spans="2:5" x14ac:dyDescent="0.25">
      <c r="B98" s="29" t="s">
        <v>1192</v>
      </c>
      <c r="C98" s="29" t="s">
        <v>1254</v>
      </c>
      <c r="D98" s="29" t="s">
        <v>366</v>
      </c>
      <c r="E98" s="29" t="s">
        <v>1267</v>
      </c>
    </row>
    <row r="99" spans="2:5" x14ac:dyDescent="0.25">
      <c r="B99" s="29" t="s">
        <v>1192</v>
      </c>
      <c r="C99" s="29" t="s">
        <v>1254</v>
      </c>
      <c r="D99" s="29" t="s">
        <v>368</v>
      </c>
      <c r="E99" s="29" t="s">
        <v>1268</v>
      </c>
    </row>
    <row r="100" spans="2:5" x14ac:dyDescent="0.25">
      <c r="B100" s="29" t="s">
        <v>1192</v>
      </c>
      <c r="C100" s="29" t="s">
        <v>1254</v>
      </c>
      <c r="D100" s="29" t="s">
        <v>368</v>
      </c>
      <c r="E100" s="29" t="s">
        <v>1269</v>
      </c>
    </row>
    <row r="101" spans="2:5" x14ac:dyDescent="0.25">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77734375" defaultRowHeight="13.8" x14ac:dyDescent="0.25"/>
  <cols>
    <col min="1" max="1" width="6.44140625" style="2" customWidth="1"/>
    <col min="2" max="2" width="30" style="2" bestFit="1" customWidth="1"/>
    <col min="3" max="3" width="36.44140625" style="2" bestFit="1" customWidth="1"/>
    <col min="4" max="7" width="35.44140625" style="2" customWidth="1"/>
    <col min="8" max="8" width="19.44140625" style="1" customWidth="1"/>
    <col min="9" max="9" width="25.77734375" style="1" customWidth="1"/>
    <col min="10" max="10" width="41.21875" style="2" customWidth="1"/>
    <col min="11" max="11" width="32.21875" style="2" customWidth="1"/>
    <col min="12" max="12" width="18.44140625" style="2" customWidth="1"/>
    <col min="13" max="13" width="29.44140625" style="2" customWidth="1"/>
    <col min="14" max="14" width="35.77734375" style="2" customWidth="1"/>
    <col min="15" max="15" width="28.44140625" style="2" customWidth="1"/>
    <col min="16" max="16" width="26.44140625" style="2" customWidth="1"/>
    <col min="17" max="16384" width="8.77734375" style="2"/>
  </cols>
  <sheetData>
    <row r="1" spans="1:9" ht="14.25" customHeight="1" x14ac:dyDescent="0.25">
      <c r="A1" s="2059"/>
      <c r="B1" s="2059"/>
      <c r="C1" s="2059"/>
      <c r="D1" s="134"/>
      <c r="E1" s="134"/>
      <c r="F1" s="134"/>
      <c r="G1" s="134"/>
    </row>
    <row r="2" spans="1:9" ht="14.25" customHeight="1" x14ac:dyDescent="0.25">
      <c r="A2" s="2059"/>
      <c r="B2" s="2059"/>
      <c r="C2" s="2059"/>
      <c r="D2" s="134"/>
      <c r="E2" s="134"/>
      <c r="F2" s="134"/>
      <c r="G2" s="134"/>
    </row>
    <row r="3" spans="1:9" ht="24.6" x14ac:dyDescent="0.4">
      <c r="B3" s="78" t="s">
        <v>1271</v>
      </c>
      <c r="C3" s="79"/>
      <c r="D3" s="79"/>
      <c r="E3" s="70"/>
      <c r="F3" s="70"/>
      <c r="G3" s="70"/>
    </row>
    <row r="4" spans="1:9" x14ac:dyDescent="0.25">
      <c r="B4" s="79"/>
      <c r="C4" s="79"/>
      <c r="D4" s="79"/>
      <c r="E4" s="69"/>
      <c r="F4" s="69"/>
      <c r="G4" s="69"/>
    </row>
    <row r="5" spans="1:9" x14ac:dyDescent="0.25">
      <c r="B5" s="79"/>
      <c r="C5" s="79"/>
      <c r="D5" s="79"/>
      <c r="E5" s="69"/>
      <c r="F5" s="69"/>
      <c r="G5" s="69"/>
    </row>
    <row r="6" spans="1:9" ht="17.399999999999999" x14ac:dyDescent="0.3">
      <c r="B6" s="80" t="s">
        <v>1272</v>
      </c>
      <c r="C6" s="79"/>
      <c r="D6" s="79"/>
    </row>
    <row r="7" spans="1:9" x14ac:dyDescent="0.25">
      <c r="B7" s="358"/>
      <c r="C7" s="79"/>
      <c r="D7" s="79"/>
    </row>
    <row r="8" spans="1:9" ht="17.399999999999999" x14ac:dyDescent="0.3">
      <c r="B8" s="81"/>
      <c r="C8" s="81"/>
      <c r="D8" s="80" t="s">
        <v>1273</v>
      </c>
      <c r="E8" s="64"/>
      <c r="H8" s="2"/>
      <c r="I8" s="2"/>
    </row>
    <row r="9" spans="1:9" ht="15" customHeight="1" thickBot="1" x14ac:dyDescent="0.3">
      <c r="B9" s="1"/>
      <c r="C9" s="1"/>
      <c r="H9" s="2"/>
      <c r="I9" s="2"/>
    </row>
    <row r="10" spans="1:9" ht="15" customHeight="1" thickBot="1" x14ac:dyDescent="0.3">
      <c r="B10" s="2051" t="s">
        <v>28</v>
      </c>
      <c r="C10" s="2055"/>
      <c r="D10" s="2055"/>
      <c r="E10" s="2052"/>
      <c r="F10" s="103"/>
      <c r="H10" s="2050"/>
      <c r="I10" s="2050"/>
    </row>
    <row r="11" spans="1:9" ht="15" customHeight="1" thickBot="1" x14ac:dyDescent="0.3">
      <c r="B11" s="89" t="s">
        <v>29</v>
      </c>
      <c r="C11" s="90" t="s">
        <v>1274</v>
      </c>
      <c r="D11" s="90" t="s">
        <v>301</v>
      </c>
      <c r="E11" s="90" t="s">
        <v>1275</v>
      </c>
      <c r="G11" s="83"/>
      <c r="H11" s="84"/>
      <c r="I11" s="2"/>
    </row>
    <row r="12" spans="1:9" ht="15" customHeight="1" x14ac:dyDescent="0.25">
      <c r="B12" s="92" t="s">
        <v>31</v>
      </c>
      <c r="C12" s="91">
        <v>13</v>
      </c>
      <c r="D12" s="95" t="s">
        <v>31</v>
      </c>
      <c r="E12" s="91">
        <v>20</v>
      </c>
      <c r="G12" s="4"/>
      <c r="H12" s="85"/>
      <c r="I12" s="2"/>
    </row>
    <row r="13" spans="1:9" ht="15" customHeight="1" x14ac:dyDescent="0.25">
      <c r="B13" s="93" t="s">
        <v>33</v>
      </c>
      <c r="C13" s="87">
        <v>8</v>
      </c>
      <c r="D13" s="96" t="s">
        <v>35</v>
      </c>
      <c r="E13" s="87">
        <v>10</v>
      </c>
      <c r="G13" s="4"/>
      <c r="H13" s="85"/>
      <c r="I13" s="2"/>
    </row>
    <row r="14" spans="1:9" ht="15" customHeight="1" x14ac:dyDescent="0.25">
      <c r="B14" s="93" t="s">
        <v>35</v>
      </c>
      <c r="C14" s="87">
        <v>5</v>
      </c>
      <c r="D14" s="96" t="s">
        <v>37</v>
      </c>
      <c r="E14" s="87">
        <v>5.25</v>
      </c>
      <c r="G14" s="4"/>
      <c r="H14" s="85"/>
      <c r="I14" s="2"/>
    </row>
    <row r="15" spans="1:9" ht="15" customHeight="1" x14ac:dyDescent="0.25">
      <c r="B15" s="93" t="s">
        <v>37</v>
      </c>
      <c r="C15" s="87">
        <v>3</v>
      </c>
      <c r="D15" s="96" t="s">
        <v>39</v>
      </c>
      <c r="E15" s="87">
        <v>3</v>
      </c>
      <c r="G15" s="4"/>
      <c r="H15" s="85"/>
      <c r="I15" s="2"/>
    </row>
    <row r="16" spans="1:9" ht="15" customHeight="1" x14ac:dyDescent="0.25">
      <c r="B16" s="93" t="s">
        <v>39</v>
      </c>
      <c r="C16" s="87">
        <v>3</v>
      </c>
      <c r="D16" s="96" t="s">
        <v>42</v>
      </c>
      <c r="E16" s="87">
        <v>0</v>
      </c>
      <c r="G16" s="4"/>
      <c r="H16" s="85"/>
      <c r="I16" s="2"/>
    </row>
    <row r="17" spans="2:9" ht="15" customHeight="1" x14ac:dyDescent="0.25">
      <c r="B17" s="93" t="s">
        <v>41</v>
      </c>
      <c r="C17" s="87">
        <v>1</v>
      </c>
      <c r="D17" s="96"/>
      <c r="E17" s="87"/>
      <c r="G17" s="4"/>
      <c r="H17" s="85"/>
      <c r="I17" s="2"/>
    </row>
    <row r="18" spans="2:9" ht="15" customHeight="1" thickBot="1" x14ac:dyDescent="0.3">
      <c r="B18" s="94" t="s">
        <v>42</v>
      </c>
      <c r="C18" s="88">
        <v>0</v>
      </c>
      <c r="D18" s="97"/>
      <c r="E18" s="88"/>
      <c r="G18" s="4"/>
      <c r="H18" s="85"/>
      <c r="I18" s="2"/>
    </row>
    <row r="19" spans="2:9" ht="36" customHeight="1" x14ac:dyDescent="0.25">
      <c r="B19" s="1"/>
      <c r="C19" s="39"/>
      <c r="H19" s="4"/>
      <c r="I19" s="85"/>
    </row>
    <row r="20" spans="2:9" ht="15" customHeight="1" x14ac:dyDescent="0.25">
      <c r="B20" s="1"/>
      <c r="C20" s="39"/>
      <c r="H20" s="4"/>
      <c r="I20" s="85"/>
    </row>
    <row r="21" spans="2:9" ht="16.05" customHeight="1" thickBot="1" x14ac:dyDescent="0.3">
      <c r="B21" s="1"/>
      <c r="C21" s="1"/>
      <c r="H21" s="4"/>
      <c r="I21" s="85"/>
    </row>
    <row r="22" spans="2:9" ht="15" customHeight="1" thickBot="1" x14ac:dyDescent="0.3">
      <c r="B22" s="2051" t="s">
        <v>1276</v>
      </c>
      <c r="C22" s="2052"/>
      <c r="H22" s="39"/>
      <c r="I22" s="2"/>
    </row>
    <row r="23" spans="2:9" ht="27.6" x14ac:dyDescent="0.25">
      <c r="B23" s="9" t="s">
        <v>30</v>
      </c>
      <c r="C23" s="10" t="s">
        <v>1277</v>
      </c>
      <c r="H23" s="39"/>
      <c r="I23" s="2"/>
    </row>
    <row r="24" spans="2:9" ht="17.25" customHeight="1" x14ac:dyDescent="0.25">
      <c r="B24" s="98" t="s">
        <v>32</v>
      </c>
      <c r="C24" s="99">
        <v>0.25</v>
      </c>
      <c r="H24" s="2"/>
      <c r="I24" s="2"/>
    </row>
    <row r="25" spans="2:9" x14ac:dyDescent="0.25">
      <c r="B25" s="98" t="s">
        <v>34</v>
      </c>
      <c r="C25" s="99">
        <v>0.15</v>
      </c>
      <c r="H25" s="2"/>
      <c r="I25" s="2"/>
    </row>
    <row r="26" spans="2:9" ht="15" customHeight="1" x14ac:dyDescent="0.25">
      <c r="B26" s="98" t="s">
        <v>36</v>
      </c>
      <c r="C26" s="99">
        <v>0.05</v>
      </c>
      <c r="H26" s="2"/>
      <c r="I26" s="2"/>
    </row>
    <row r="27" spans="2:9" x14ac:dyDescent="0.25">
      <c r="B27" s="98" t="s">
        <v>38</v>
      </c>
      <c r="C27" s="99">
        <v>0</v>
      </c>
      <c r="H27" s="2"/>
      <c r="I27" s="2"/>
    </row>
    <row r="28" spans="2:9" ht="16.05" customHeight="1" thickBot="1" x14ac:dyDescent="0.3">
      <c r="B28" s="100" t="s">
        <v>40</v>
      </c>
      <c r="C28" s="101">
        <v>0</v>
      </c>
      <c r="H28" s="2"/>
      <c r="I28" s="2"/>
    </row>
    <row r="29" spans="2:9" ht="16.05" customHeight="1" thickBot="1" x14ac:dyDescent="0.3">
      <c r="B29" s="1"/>
      <c r="C29" s="1"/>
      <c r="D29" s="64"/>
      <c r="H29" s="2"/>
      <c r="I29" s="2"/>
    </row>
    <row r="30" spans="2:9" ht="14.4" thickBot="1" x14ac:dyDescent="0.3">
      <c r="B30" s="2051" t="s">
        <v>1278</v>
      </c>
      <c r="C30" s="2052"/>
      <c r="H30" s="2"/>
      <c r="I30" s="2"/>
    </row>
    <row r="31" spans="2:9" x14ac:dyDescent="0.25">
      <c r="B31" s="44" t="s">
        <v>1279</v>
      </c>
      <c r="C31" s="45" t="s">
        <v>1280</v>
      </c>
      <c r="H31" s="2"/>
      <c r="I31" s="2"/>
    </row>
    <row r="32" spans="2:9" x14ac:dyDescent="0.25">
      <c r="B32" s="12">
        <v>1</v>
      </c>
      <c r="C32" s="61">
        <v>0.2</v>
      </c>
      <c r="H32" s="2"/>
      <c r="I32" s="2"/>
    </row>
    <row r="33" spans="2:9" x14ac:dyDescent="0.25">
      <c r="B33" s="13">
        <v>2</v>
      </c>
      <c r="C33" s="62">
        <v>0.3</v>
      </c>
      <c r="H33" s="2"/>
      <c r="I33" s="2"/>
    </row>
    <row r="34" spans="2:9" x14ac:dyDescent="0.25">
      <c r="B34" s="14">
        <v>3</v>
      </c>
      <c r="C34" s="61">
        <v>0.4</v>
      </c>
      <c r="H34" s="2"/>
      <c r="I34" s="2"/>
    </row>
    <row r="35" spans="2:9" ht="16.05" customHeight="1" x14ac:dyDescent="0.25">
      <c r="B35" s="14">
        <v>4</v>
      </c>
      <c r="C35" s="61">
        <v>0.7</v>
      </c>
      <c r="H35" s="2"/>
      <c r="I35" s="2"/>
    </row>
    <row r="36" spans="2:9" ht="14.4" thickBot="1" x14ac:dyDescent="0.3">
      <c r="B36" s="15">
        <v>5</v>
      </c>
      <c r="C36" s="63">
        <v>0.9</v>
      </c>
      <c r="H36" s="2"/>
      <c r="I36" s="2"/>
    </row>
    <row r="37" spans="2:9" x14ac:dyDescent="0.25">
      <c r="B37" s="1"/>
      <c r="C37" s="1"/>
      <c r="H37" s="2"/>
      <c r="I37" s="2"/>
    </row>
    <row r="38" spans="2:9" ht="14.4" thickBot="1" x14ac:dyDescent="0.3">
      <c r="B38" s="1"/>
      <c r="C38" s="1"/>
      <c r="D38" s="64" t="s">
        <v>1281</v>
      </c>
      <c r="H38" s="2"/>
      <c r="I38" s="2"/>
    </row>
    <row r="39" spans="2:9" ht="14.4" thickBot="1" x14ac:dyDescent="0.3">
      <c r="B39" s="2053" t="s">
        <v>1282</v>
      </c>
      <c r="C39" s="2054"/>
      <c r="D39" s="2054"/>
      <c r="E39" s="2054"/>
      <c r="F39" s="86"/>
      <c r="I39" s="2"/>
    </row>
    <row r="40" spans="2:9" x14ac:dyDescent="0.25">
      <c r="B40" s="23" t="s">
        <v>1283</v>
      </c>
      <c r="C40" s="46" t="s">
        <v>1167</v>
      </c>
      <c r="D40" s="46" t="s">
        <v>282</v>
      </c>
      <c r="E40" s="47" t="s">
        <v>307</v>
      </c>
      <c r="I40" s="2"/>
    </row>
    <row r="41" spans="2:9" x14ac:dyDescent="0.25">
      <c r="B41" s="11" t="s">
        <v>264</v>
      </c>
      <c r="C41" s="49">
        <v>2.0099999999999998</v>
      </c>
      <c r="D41" s="49">
        <v>1.71</v>
      </c>
      <c r="E41" s="50"/>
      <c r="I41" s="2"/>
    </row>
    <row r="42" spans="2:9" x14ac:dyDescent="0.25">
      <c r="B42" s="11" t="s">
        <v>279</v>
      </c>
      <c r="C42" s="49">
        <v>3.14</v>
      </c>
      <c r="D42" s="49">
        <v>1.61</v>
      </c>
      <c r="E42" s="50"/>
      <c r="I42" s="2"/>
    </row>
    <row r="43" spans="2:9" x14ac:dyDescent="0.25">
      <c r="B43" s="11" t="s">
        <v>290</v>
      </c>
      <c r="C43" s="49">
        <v>1.72</v>
      </c>
      <c r="D43" s="49">
        <v>1.96</v>
      </c>
      <c r="E43" s="50"/>
      <c r="I43" s="2"/>
    </row>
    <row r="44" spans="2:9" x14ac:dyDescent="0.25">
      <c r="B44" s="11" t="s">
        <v>267</v>
      </c>
      <c r="C44" s="49">
        <v>1.5</v>
      </c>
      <c r="D44" s="49"/>
      <c r="E44" s="50"/>
      <c r="I44" s="2"/>
    </row>
    <row r="45" spans="2:9" x14ac:dyDescent="0.25">
      <c r="B45" s="11" t="s">
        <v>265</v>
      </c>
      <c r="C45" s="51"/>
      <c r="D45" s="51"/>
      <c r="E45" s="52">
        <v>2.9</v>
      </c>
      <c r="I45" s="2"/>
    </row>
    <row r="46" spans="2:9" ht="14.4" thickBot="1" x14ac:dyDescent="0.3">
      <c r="B46" s="6" t="s">
        <v>280</v>
      </c>
      <c r="C46" s="53"/>
      <c r="D46" s="48"/>
      <c r="E46" s="54">
        <v>2.9</v>
      </c>
      <c r="I46" s="2"/>
    </row>
    <row r="47" spans="2:9" ht="14.4" thickBot="1" x14ac:dyDescent="0.3">
      <c r="B47" s="1"/>
      <c r="C47" s="1"/>
      <c r="D47" s="64" t="s">
        <v>1281</v>
      </c>
      <c r="H47" s="2"/>
      <c r="I47" s="2"/>
    </row>
    <row r="48" spans="2:9" ht="14.4" thickBot="1" x14ac:dyDescent="0.3">
      <c r="B48" s="2051" t="s">
        <v>1284</v>
      </c>
      <c r="C48" s="2052"/>
      <c r="H48" s="2"/>
      <c r="I48" s="2"/>
    </row>
    <row r="49" spans="2:9" x14ac:dyDescent="0.25">
      <c r="B49" s="58" t="s">
        <v>1285</v>
      </c>
      <c r="C49" s="59" t="s">
        <v>1286</v>
      </c>
      <c r="H49" s="2"/>
      <c r="I49" s="2"/>
    </row>
    <row r="50" spans="2:9" x14ac:dyDescent="0.25">
      <c r="B50" s="42" t="s">
        <v>279</v>
      </c>
      <c r="C50" s="61">
        <v>0.35</v>
      </c>
      <c r="H50" s="2"/>
      <c r="I50" s="2"/>
    </row>
    <row r="51" spans="2:9" x14ac:dyDescent="0.25">
      <c r="B51" s="42" t="s">
        <v>264</v>
      </c>
      <c r="C51" s="62">
        <v>0.2</v>
      </c>
      <c r="H51" s="2"/>
      <c r="I51" s="2"/>
    </row>
    <row r="52" spans="2:9" x14ac:dyDescent="0.25">
      <c r="B52" s="42" t="s">
        <v>290</v>
      </c>
      <c r="C52" s="61">
        <v>0.3</v>
      </c>
      <c r="H52" s="2"/>
      <c r="I52" s="2"/>
    </row>
    <row r="53" spans="2:9" x14ac:dyDescent="0.25">
      <c r="B53" s="11" t="s">
        <v>307</v>
      </c>
      <c r="C53" s="61">
        <v>0.35</v>
      </c>
      <c r="H53" s="2"/>
      <c r="I53" s="2"/>
    </row>
    <row r="54" spans="2:9" ht="14.4" thickBot="1" x14ac:dyDescent="0.3">
      <c r="B54" s="6" t="s">
        <v>282</v>
      </c>
      <c r="C54" s="63">
        <v>0.3</v>
      </c>
      <c r="H54" s="2"/>
      <c r="I54" s="2"/>
    </row>
    <row r="55" spans="2:9" ht="14.4" thickBot="1" x14ac:dyDescent="0.3">
      <c r="B55" s="64" t="s">
        <v>1281</v>
      </c>
      <c r="D55" s="40"/>
      <c r="G55" s="40"/>
      <c r="H55" s="2"/>
      <c r="I55" s="2"/>
    </row>
    <row r="56" spans="2:9" ht="14.4" thickBot="1" x14ac:dyDescent="0.3">
      <c r="B56" s="2051" t="s">
        <v>1287</v>
      </c>
      <c r="C56" s="2052"/>
      <c r="D56" s="41"/>
      <c r="G56" s="41"/>
      <c r="H56" s="2"/>
      <c r="I56" s="2"/>
    </row>
    <row r="57" spans="2:9" x14ac:dyDescent="0.25">
      <c r="B57" s="60" t="s">
        <v>1288</v>
      </c>
      <c r="C57" s="18"/>
      <c r="H57" s="2"/>
      <c r="I57" s="2"/>
    </row>
    <row r="58" spans="2:9" x14ac:dyDescent="0.25">
      <c r="B58" s="19" t="s">
        <v>1289</v>
      </c>
      <c r="C58" s="20">
        <v>0</v>
      </c>
      <c r="H58" s="2"/>
      <c r="I58" s="2"/>
    </row>
    <row r="59" spans="2:9" x14ac:dyDescent="0.25">
      <c r="B59" s="19" t="s">
        <v>39</v>
      </c>
      <c r="C59" s="20">
        <v>3</v>
      </c>
      <c r="H59" s="2"/>
      <c r="I59" s="2"/>
    </row>
    <row r="60" spans="2:9" x14ac:dyDescent="0.25">
      <c r="B60" s="19" t="s">
        <v>37</v>
      </c>
      <c r="C60" s="20">
        <v>5.25</v>
      </c>
      <c r="H60" s="2"/>
      <c r="I60" s="2"/>
    </row>
    <row r="61" spans="2:9" x14ac:dyDescent="0.25">
      <c r="B61" s="19" t="s">
        <v>35</v>
      </c>
      <c r="C61" s="20">
        <v>10</v>
      </c>
      <c r="H61" s="2"/>
      <c r="I61" s="2"/>
    </row>
    <row r="62" spans="2:9" ht="14.4" thickBot="1" x14ac:dyDescent="0.3">
      <c r="B62" s="21" t="s">
        <v>31</v>
      </c>
      <c r="C62" s="22">
        <v>20</v>
      </c>
      <c r="H62" s="2"/>
      <c r="I62" s="2"/>
    </row>
    <row r="63" spans="2:9" ht="14.4" thickBot="1" x14ac:dyDescent="0.3">
      <c r="B63" s="64" t="s">
        <v>1281</v>
      </c>
      <c r="F63" s="4"/>
      <c r="G63" s="4"/>
      <c r="H63" s="4"/>
      <c r="I63" s="2"/>
    </row>
    <row r="64" spans="2:9" ht="15.6" thickBot="1" x14ac:dyDescent="0.3">
      <c r="B64" s="2056" t="s">
        <v>1290</v>
      </c>
      <c r="C64" s="2057"/>
      <c r="D64" s="2058"/>
      <c r="F64" s="4"/>
      <c r="G64" s="104"/>
      <c r="H64" s="4"/>
      <c r="I64" s="2"/>
    </row>
    <row r="65" spans="2:9" ht="27.6" x14ac:dyDescent="0.25">
      <c r="B65" s="55" t="s">
        <v>1291</v>
      </c>
      <c r="C65" s="56" t="s">
        <v>1292</v>
      </c>
      <c r="D65" s="57" t="s">
        <v>1293</v>
      </c>
      <c r="F65" s="4"/>
      <c r="G65" s="105"/>
      <c r="H65" s="4"/>
      <c r="I65" s="2"/>
    </row>
    <row r="66" spans="2:9" x14ac:dyDescent="0.25">
      <c r="B66" s="16">
        <v>1</v>
      </c>
      <c r="C66" s="7" t="s">
        <v>1294</v>
      </c>
      <c r="D66" s="61">
        <v>0.2</v>
      </c>
      <c r="F66" s="4"/>
      <c r="G66" s="102"/>
      <c r="H66" s="4"/>
      <c r="I66" s="2"/>
    </row>
    <row r="67" spans="2:9" ht="27.6" x14ac:dyDescent="0.25">
      <c r="B67" s="16">
        <v>2</v>
      </c>
      <c r="C67" s="7" t="s">
        <v>1295</v>
      </c>
      <c r="D67" s="61">
        <v>0.3</v>
      </c>
      <c r="G67" s="82"/>
      <c r="H67" s="2"/>
      <c r="I67" s="2"/>
    </row>
    <row r="68" spans="2:9" ht="27.6" x14ac:dyDescent="0.25">
      <c r="B68" s="16">
        <v>3</v>
      </c>
      <c r="C68" s="7" t="s">
        <v>1296</v>
      </c>
      <c r="D68" s="61">
        <v>0.4</v>
      </c>
      <c r="G68" s="82"/>
      <c r="H68" s="2"/>
      <c r="I68" s="2"/>
    </row>
    <row r="69" spans="2:9" ht="41.4" x14ac:dyDescent="0.25">
      <c r="B69" s="16">
        <v>4</v>
      </c>
      <c r="C69" s="7" t="s">
        <v>1297</v>
      </c>
      <c r="D69" s="61">
        <v>0.7</v>
      </c>
      <c r="G69" s="82"/>
      <c r="H69" s="2"/>
      <c r="I69" s="2"/>
    </row>
    <row r="70" spans="2:9" ht="42" thickBot="1" x14ac:dyDescent="0.3">
      <c r="B70" s="17">
        <v>5</v>
      </c>
      <c r="C70" s="8" t="s">
        <v>1298</v>
      </c>
      <c r="D70" s="63">
        <v>0.9</v>
      </c>
      <c r="G70" s="82"/>
      <c r="H70" s="2"/>
      <c r="I70" s="2"/>
    </row>
    <row r="71" spans="2:9" x14ac:dyDescent="0.25">
      <c r="B71" s="1"/>
      <c r="C71" s="1"/>
      <c r="H71" s="2"/>
      <c r="I71" s="2"/>
    </row>
    <row r="72" spans="2:9" ht="14.4" thickBot="1" x14ac:dyDescent="0.3">
      <c r="B72" s="1"/>
      <c r="C72" s="1"/>
      <c r="H72" s="2"/>
      <c r="I72" s="2"/>
    </row>
    <row r="73" spans="2:9" x14ac:dyDescent="0.25">
      <c r="B73" s="359" t="s">
        <v>1285</v>
      </c>
      <c r="C73" s="360" t="s">
        <v>279</v>
      </c>
      <c r="D73" s="361" t="s">
        <v>264</v>
      </c>
      <c r="E73" s="361" t="s">
        <v>290</v>
      </c>
      <c r="F73" s="362" t="s">
        <v>307</v>
      </c>
      <c r="G73" s="363" t="s">
        <v>282</v>
      </c>
      <c r="H73" s="2"/>
      <c r="I73" s="2"/>
    </row>
    <row r="74" spans="2:9" ht="14.4" thickBot="1" x14ac:dyDescent="0.3">
      <c r="B74" s="6" t="s">
        <v>1286</v>
      </c>
      <c r="C74" s="364">
        <v>0.35</v>
      </c>
      <c r="D74" s="364">
        <v>0.2</v>
      </c>
      <c r="E74" s="364">
        <v>0.3</v>
      </c>
      <c r="F74" s="364">
        <v>0.35</v>
      </c>
      <c r="G74" s="365">
        <v>0.3</v>
      </c>
      <c r="H74" s="2"/>
      <c r="I74" s="2"/>
    </row>
    <row r="75" spans="2:9" x14ac:dyDescent="0.25">
      <c r="B75" s="1"/>
      <c r="C75" s="1"/>
      <c r="D75" s="66"/>
      <c r="H75" s="2"/>
      <c r="I75" s="2"/>
    </row>
    <row r="76" spans="2:9" x14ac:dyDescent="0.25">
      <c r="B76" s="1"/>
      <c r="C76" s="1"/>
      <c r="D76" s="66"/>
      <c r="H76" s="2"/>
      <c r="I76" s="2"/>
    </row>
    <row r="77" spans="2:9" x14ac:dyDescent="0.25">
      <c r="B77" s="1"/>
      <c r="C77" s="1"/>
      <c r="H77" s="2"/>
      <c r="I77" s="2"/>
    </row>
    <row r="78" spans="2:9" x14ac:dyDescent="0.25">
      <c r="B78" s="1"/>
      <c r="C78" s="1"/>
      <c r="H78" s="2"/>
      <c r="I78" s="2"/>
    </row>
    <row r="79" spans="2:9" x14ac:dyDescent="0.25">
      <c r="B79" s="1"/>
      <c r="C79" s="1"/>
      <c r="H79" s="2"/>
      <c r="I79" s="2"/>
    </row>
    <row r="80" spans="2:9" x14ac:dyDescent="0.25">
      <c r="B80" s="1"/>
      <c r="C80" s="1"/>
      <c r="H80" s="2"/>
      <c r="I80" s="2"/>
    </row>
    <row r="81" spans="2:9" x14ac:dyDescent="0.25">
      <c r="B81" s="1"/>
      <c r="C81" s="1"/>
      <c r="H81" s="2"/>
      <c r="I81" s="2"/>
    </row>
    <row r="82" spans="2:9" x14ac:dyDescent="0.25">
      <c r="B82" s="1"/>
      <c r="C82" s="1"/>
      <c r="H82" s="2"/>
      <c r="I82" s="2"/>
    </row>
  </sheetData>
  <mergeCells count="9">
    <mergeCell ref="A1:C2"/>
    <mergeCell ref="B30:C30"/>
    <mergeCell ref="H10:I10"/>
    <mergeCell ref="B22:C22"/>
    <mergeCell ref="B39:E39"/>
    <mergeCell ref="B10:E10"/>
    <mergeCell ref="B64:D64"/>
    <mergeCell ref="B56:C56"/>
    <mergeCell ref="B48:C48"/>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Darvi Sunny (Credera)</cp:lastModifiedBy>
  <cp:revision/>
  <dcterms:created xsi:type="dcterms:W3CDTF">2024-10-02T20:28:22Z</dcterms:created>
  <dcterms:modified xsi:type="dcterms:W3CDTF">2025-08-25T07:41:24Z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