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F1C0191F-5E44-47C8-B915-92CDD1222C8D}" xr6:coauthVersionLast="47" xr6:coauthVersionMax="47" xr10:uidLastSave="{00000000-0000-0000-0000-000000000000}"/>
  <bookViews>
    <workbookView xWindow="-108" yWindow="-108" windowWidth="23256" windowHeight="12456"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28" l="1"/>
  <c r="H5" i="28"/>
  <c r="BT36" i="28" s="1"/>
  <c r="BQ17" i="28"/>
  <c r="BQ18" i="28"/>
  <c r="BQ19" i="28"/>
  <c r="BQ20" i="28"/>
  <c r="BQ21" i="28"/>
  <c r="BQ22" i="28"/>
  <c r="BQ23" i="28"/>
  <c r="BQ24" i="28"/>
  <c r="BQ25" i="28"/>
  <c r="BQ26" i="28"/>
  <c r="BQ27" i="28"/>
  <c r="BQ28" i="28"/>
  <c r="BQ29" i="28"/>
  <c r="BQ30" i="28"/>
  <c r="BQ31" i="28"/>
  <c r="BQ32" i="28"/>
  <c r="BQ33" i="28"/>
  <c r="BQ34" i="28"/>
  <c r="BQ16" i="28"/>
  <c r="BS17" i="28"/>
  <c r="BS18" i="28"/>
  <c r="BS19" i="28"/>
  <c r="BS20" i="28"/>
  <c r="BS21" i="28"/>
  <c r="BS22" i="28"/>
  <c r="BS23" i="28"/>
  <c r="BS24" i="28"/>
  <c r="BS25" i="28"/>
  <c r="BS26" i="28"/>
  <c r="BS27" i="28"/>
  <c r="BS28" i="28"/>
  <c r="BS29" i="28"/>
  <c r="BS30" i="28"/>
  <c r="BS31" i="28"/>
  <c r="BS32" i="28"/>
  <c r="BS33" i="28"/>
  <c r="BS16" i="28"/>
  <c r="H7" i="28"/>
  <c r="O49" i="13" a="1"/>
  <c r="O49" i="13" s="1"/>
  <c r="O50" i="13" a="1"/>
  <c r="O50" i="13"/>
  <c r="O51" i="13" a="1"/>
  <c r="O51" i="13" s="1"/>
  <c r="O52" i="13" a="1"/>
  <c r="O52" i="13"/>
  <c r="O53" i="13" a="1"/>
  <c r="O53" i="13" s="1"/>
  <c r="O54" i="13" a="1"/>
  <c r="O54" i="13" s="1"/>
  <c r="O55" i="13" a="1"/>
  <c r="O55" i="13"/>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I298" i="13" a="1"/>
  <c r="I298" i="13"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C114"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05" i="1"/>
  <c r="CU118" i="1"/>
  <c r="CU119"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512" i="1" l="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F298" i="13" s="1" a="1"/>
  <c r="F298" i="13" s="1"/>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N379" i="13"/>
  <c r="O379" i="13"/>
  <c r="AB136" i="13"/>
  <c r="O357" i="13"/>
  <c r="N357" i="13"/>
  <c r="AB114" i="13"/>
  <c r="N374" i="13"/>
  <c r="O374" i="13"/>
  <c r="AB131" i="13"/>
  <c r="N332" i="13"/>
  <c r="M332" i="13"/>
  <c r="F332" i="13" s="1" a="1"/>
  <c r="F332" i="13" s="1"/>
  <c r="F291" i="13" l="1"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2" i="28"/>
  <c r="H23" i="28"/>
  <c r="H24" i="28"/>
  <c r="H25" i="28"/>
  <c r="H26" i="28"/>
  <c r="H27" i="28"/>
  <c r="H28" i="28"/>
  <c r="H29" i="28"/>
  <c r="H30" i="28"/>
  <c r="H31" i="28"/>
  <c r="H32" i="28"/>
  <c r="H33" i="28"/>
  <c r="H16" i="28"/>
  <c r="H17" i="28"/>
  <c r="H18" i="28"/>
  <c r="H19" i="28"/>
  <c r="H20"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H21" i="28"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<sst xmlns="http://schemas.openxmlformats.org/spreadsheetml/2006/main" count="22824" uniqueCount="3694">
  <si>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</si>
  <si>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</si>
  <si>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</si>
  <si>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</si>
  <si>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</si>
  <si>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</si>
  <si>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</si>
  <si>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</si>
  <si>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</si>
  <si>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</si>
  <si>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</si>
  <si>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</si>
  <si>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</si>
  <si>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</si>
  <si>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</si>
  <si>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</si>
  <si>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</si>
  <si>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</si>
  <si>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</si>
  <si>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</si>
  <si>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</si>
  <si>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</si>
  <si>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</si>
  <si>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</si>
  <si>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</si>
  <si>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</si>
  <si>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</si>
  <si>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</si>
  <si>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</si>
  <si>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</si>
  <si>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</si>
  <si>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</si>
  <si>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</si>
  <si>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</si>
  <si>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</si>
  <si>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</si>
  <si>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</si>
  <si>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</si>
  <si>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</si>
  <si>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</si>
  <si>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</si>
  <si>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</si>
  <si>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</si>
  <si>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</si>
  <si>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</si>
  <si>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</si>
  <si>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</si>
  <si>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</si>
  <si>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</si>
  <si>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</si>
  <si>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</si>
  <si>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</si>
  <si>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</si>
  <si>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</si>
  <si>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</si>
  <si>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</si>
  <si>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</si>
  <si>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</si>
  <si>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</si>
  <si>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</si>
  <si>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</si>
  <si>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</si>
  <si>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</si>
  <si>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</si>
  <si>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</si>
  <si>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</si>
  <si>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</si>
  <si>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</si>
  <si>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</si>
  <si>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</si>
  <si>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</si>
  <si>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</si>
  <si>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</si>
  <si>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</si>
  <si>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</si>
  <si>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</si>
  <si>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</si>
  <si>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</si>
  <si>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</si>
  <si>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</si>
  <si>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</si>
  <si>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</si>
  <si>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</si>
  <si>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</si>
  <si>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</si>
  <si>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</si>
  <si>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</si>
  <si>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</si>
  <si>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</si>
  <si>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</si>
  <si>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</si>
  <si>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</si>
  <si>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</si>
  <si>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</si>
  <si>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</si>
  <si>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</si>
  <si>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</si>
  <si>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</si>
  <si>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</si>
  <si>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</si>
  <si>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</si>
  <si>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</si>
  <si>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</si>
  <si>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</si>
  <si>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</si>
  <si>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</si>
  <si>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</si>
  <si>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</si>
  <si>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</si>
  <si>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</si>
  <si>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</si>
  <si>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</si>
  <si>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</si>
  <si>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</si>
  <si>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</si>
  <si>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</si>
  <si>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</si>
  <si>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</si>
  <si>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</si>
  <si>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</si>
  <si>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</si>
  <si>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</si>
  <si>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</si>
  <si>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</si>
  <si>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</si>
  <si>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</si>
  <si>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</si>
  <si>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</si>
  <si>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</si>
  <si>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</si>
  <si>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</si>
  <si>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</si>
  <si>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</si>
  <si>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</si>
  <si>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</si>
  <si>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</si>
  <si>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</si>
  <si>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</si>
  <si>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</si>
  <si>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</si>
  <si>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</si>
  <si>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</si>
  <si>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</si>
  <si>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</si>
  <si>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</si>
  <si>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</si>
  <si>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</si>
  <si>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</si>
  <si>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</si>
  <si>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</si>
  <si>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</si>
  <si>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</si>
  <si>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</si>
  <si>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</si>
  <si>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</si>
  <si>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</si>
  <si>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</si>
  <si>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</si>
  <si>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</si>
  <si>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</si>
  <si>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</si>
  <si>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</si>
  <si>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</si>
  <si>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</si>
  <si>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</si>
  <si>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</si>
  <si>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</si>
  <si>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</si>
  <si>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</si>
  <si>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</si>
  <si>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</si>
  <si>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</si>
  <si>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</si>
  <si>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</si>
  <si>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</si>
  <si>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</si>
  <si>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</si>
  <si>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</si>
  <si>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</si>
  <si>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</si>
  <si>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</si>
  <si>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</si>
  <si>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</si>
  <si>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</si>
  <si>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</si>
  <si>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</si>
  <si>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</si>
  <si>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</si>
  <si>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</si>
  <si>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</si>
  <si>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</si>
  <si>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</si>
  <si>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</si>
  <si>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</si>
  <si>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</si>
  <si>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</si>
  <si>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</si>
  <si>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</si>
  <si>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</si>
  <si>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</si>
  <si>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</si>
  <si>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</si>
  <si>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</si>
  <si>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</si>
  <si>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</si>
  <si>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</si>
  <si>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</si>
  <si>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</si>
  <si>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</si>
  <si>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</si>
  <si>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</si>
  <si>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</si>
  <si>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</si>
  <si>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</si>
  <si>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</si>
  <si>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</si>
  <si>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</si>
  <si>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</si>
  <si>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</si>
  <si>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</si>
  <si>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</si>
  <si>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</si>
  <si>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</si>
  <si>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</si>
  <si>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</si>
  <si>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</si>
  <si>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</si>
  <si>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</si>
  <si>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</si>
  <si>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</si>
  <si>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</si>
  <si>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</si>
  <si>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</si>
  <si>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</si>
  <si>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</si>
  <si>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</si>
  <si>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</si>
  <si>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</si>
  <si>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</si>
  <si>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</si>
  <si>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</si>
  <si>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</si>
  <si>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</si>
  <si>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</si>
  <si>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</si>
  <si>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</si>
  <si>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</si>
  <si>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</si>
  <si>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</si>
  <si>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</si>
  <si>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</si>
  <si>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</si>
  <si>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</si>
  <si>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</si>
  <si>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</si>
  <si>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</si>
  <si>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</si>
  <si>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</si>
  <si>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</si>
  <si>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</si>
  <si>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</si>
  <si>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</si>
  <si>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</si>
  <si>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</si>
  <si>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</si>
  <si>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</si>
  <si>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</si>
  <si>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</si>
  <si>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</si>
  <si>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</si>
  <si>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</si>
  <si>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</si>
  <si>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</si>
  <si>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</si>
  <si>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</si>
  <si>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</si>
  <si>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</si>
  <si>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</si>
  <si>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</si>
  <si>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</si>
  <si>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</si>
  <si>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</si>
  <si>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</si>
  <si>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</si>
  <si>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</si>
  <si>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</si>
  <si>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</si>
  <si>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</si>
  <si>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</si>
  <si>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</si>
  <si>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</si>
  <si>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</si>
  <si>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</si>
  <si>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</si>
  <si>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</si>
  <si>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</si>
  <si>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</si>
  <si>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</si>
  <si>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</si>
  <si>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</si>
  <si>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</si>
  <si>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</si>
  <si>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</si>
  <si>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</si>
  <si>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</si>
  <si>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</si>
  <si>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</si>
  <si>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</si>
  <si>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</si>
  <si>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</si>
  <si>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</si>
  <si>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</si>
  <si>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</si>
  <si>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</si>
  <si>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</si>
  <si>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</si>
  <si>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</si>
  <si>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</si>
  <si>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</si>
  <si>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</si>
  <si>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</si>
  <si>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</si>
  <si>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</si>
  <si>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</si>
  <si>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</si>
  <si>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</si>
  <si>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</si>
  <si>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</si>
  <si>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</si>
  <si>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</si>
  <si>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</si>
  <si>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</si>
  <si>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</si>
  <si>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</si>
  <si>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</si>
  <si>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</si>
  <si>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</si>
  <si>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</si>
  <si>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</si>
  <si>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</si>
  <si>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</si>
  <si>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</si>
  <si>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</si>
  <si>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</si>
  <si>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</si>
  <si>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</si>
  <si>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</si>
  <si>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</si>
  <si>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</si>
  <si>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</si>
  <si>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</si>
  <si>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</si>
  <si>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</si>
  <si>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</si>
  <si>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</si>
  <si>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</si>
  <si>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</si>
  <si>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</si>
  <si>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</si>
  <si>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</si>
  <si>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</si>
  <si>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</si>
  <si>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</si>
  <si>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</si>
  <si>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</si>
  <si>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</si>
  <si>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</si>
  <si>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</si>
  <si>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</si>
  <si>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</si>
  <si>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</si>
  <si>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</si>
  <si>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</si>
  <si>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</si>
  <si>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</si>
  <si>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</si>
  <si>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</si>
  <si>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</si>
  <si>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</si>
  <si>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</si>
  <si>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</si>
  <si>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</si>
  <si>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</si>
  <si>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</si>
  <si>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</si>
  <si>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</si>
  <si>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</si>
  <si>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</si>
  <si>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</si>
  <si>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</si>
  <si>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</si>
  <si>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</si>
  <si>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</si>
  <si>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</si>
  <si>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</si>
  <si>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</si>
  <si>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</si>
  <si>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</si>
  <si>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</si>
  <si>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</si>
  <si>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</si>
  <si>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</si>
  <si>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</si>
  <si>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</si>
  <si>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</si>
  <si>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</si>
  <si>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</si>
  <si>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</si>
  <si>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</si>
  <si>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</si>
  <si>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</si>
  <si>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</si>
  <si>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</si>
  <si>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</si>
  <si>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</si>
  <si>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</si>
  <si>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</si>
  <si>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</si>
  <si>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</si>
  <si>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</si>
  <si>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</si>
  <si>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</si>
  <si>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</si>
  <si>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</si>
  <si>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</si>
  <si>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</si>
  <si>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</si>
  <si>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</si>
  <si>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</si>
  <si>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</si>
  <si>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</si>
  <si>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</si>
  <si>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</si>
  <si>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</si>
  <si>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</si>
  <si>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</si>
  <si>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</si>
  <si>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</si>
  <si>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</si>
  <si>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</si>
  <si>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</si>
  <si>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</si>
  <si>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</si>
  <si>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</si>
  <si>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</si>
  <si>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</si>
  <si>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</si>
  <si>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</si>
  <si>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</si>
  <si>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</si>
  <si>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</si>
  <si>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</si>
  <si>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</si>
  <si>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</si>
  <si>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</si>
  <si>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</si>
  <si>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</si>
  <si>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</si>
  <si>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</si>
  <si>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</si>
  <si>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</si>
  <si>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</si>
  <si>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</si>
  <si>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</si>
  <si>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</si>
  <si>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</si>
  <si>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</si>
  <si>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</si>
  <si>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</si>
  <si>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</si>
  <si>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</si>
  <si>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</si>
  <si>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</si>
  <si>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</si>
  <si>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</si>
  <si>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</si>
  <si>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</si>
  <si>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</si>
  <si>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</si>
  <si>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</si>
  <si>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</si>
  <si>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</si>
  <si>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</si>
  <si>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</si>
  <si>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</si>
  <si>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</si>
  <si>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</si>
  <si>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</si>
  <si>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</si>
  <si>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</si>
  <si>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</si>
  <si>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</si>
  <si>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</si>
  <si>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</si>
  <si>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</si>
  <si>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</si>
  <si>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</si>
  <si>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</si>
  <si>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</si>
  <si>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</si>
  <si>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</si>
  <si>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</si>
  <si>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</si>
  <si>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</si>
  <si>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</si>
  <si>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</si>
  <si>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</si>
  <si>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</si>
  <si>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</si>
  <si>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</si>
  <si>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</si>
  <si>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</si>
  <si>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</si>
  <si>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</si>
  <si>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</si>
  <si>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</si>
  <si>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</si>
  <si>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</si>
  <si>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</si>
  <si>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</si>
  <si>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</si>
  <si>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</si>
  <si>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</si>
  <si>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</si>
  <si>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</si>
  <si>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</si>
  <si>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</si>
  <si>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</si>
  <si>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</si>
  <si>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</si>
  <si>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</si>
  <si>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</si>
  <si>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</si>
  <si>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</si>
  <si>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</si>
  <si>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</si>
  <si>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</si>
  <si>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</si>
  <si>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</si>
  <si>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</si>
  <si>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</si>
  <si>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</si>
  <si>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</si>
  <si>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</si>
  <si>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</si>
  <si>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</si>
  <si>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</si>
  <si>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</si>
  <si>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</si>
  <si>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</si>
  <si>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</si>
  <si>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</si>
  <si>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</si>
  <si>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</si>
  <si>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</si>
  <si>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</si>
  <si>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</si>
  <si>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</si>
  <si>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</si>
  <si>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</si>
  <si>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</si>
  <si>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</si>
  <si>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</si>
  <si>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</si>
  <si>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</si>
  <si>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</si>
  <si>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</si>
  <si>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</si>
  <si>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</si>
  <si>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</si>
  <si>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</si>
  <si>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</si>
  <si>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</si>
  <si>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</si>
  <si>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</si>
  <si>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</si>
  <si>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</si>
  <si>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</si>
  <si>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</si>
  <si>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</si>
  <si>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</si>
  <si>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</si>
  <si>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</si>
  <si>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</si>
  <si>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</si>
  <si>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</si>
  <si>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</si>
  <si>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</si>
  <si>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</si>
  <si>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</si>
  <si>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</si>
  <si>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</si>
  <si>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</si>
  <si>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</si>
  <si>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</si>
  <si>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</si>
  <si>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</si>
  <si>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</si>
  <si>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</si>
  <si>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</si>
  <si>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</si>
  <si>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</si>
  <si>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</si>
  <si>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</si>
  <si>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</si>
  <si>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</si>
  <si>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</si>
  <si>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</si>
  <si>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</si>
  <si>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</si>
  <si>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</si>
  <si>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</si>
  <si>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</si>
  <si>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</si>
  <si>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</si>
  <si>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</si>
  <si>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</si>
  <si>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</si>
  <si>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</si>
  <si>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</si>
  <si>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</si>
  <si>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</si>
  <si>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</si>
  <si>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</si>
  <si>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</si>
  <si>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</si>
  <si>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</si>
  <si>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</si>
  <si>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</si>
  <si>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</si>
  <si>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</si>
  <si>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</si>
  <si>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</si>
  <si>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</si>
  <si>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</si>
  <si>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</si>
  <si>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</si>
  <si>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</si>
  <si>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</si>
  <si>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</si>
  <si>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</si>
  <si>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</si>
  <si>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</si>
  <si>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</si>
  <si>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</si>
  <si>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</si>
  <si>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</si>
  <si>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</si>
  <si>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</si>
  <si>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</si>
  <si>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</si>
  <si>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</si>
  <si>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</si>
  <si>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</si>
  <si>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</si>
  <si>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</si>
  <si>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</si>
  <si>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</si>
  <si>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</si>
  <si>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</si>
  <si>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</si>
  <si>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</si>
  <si>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</si>
  <si>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</si>
  <si>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</si>
  <si>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</si>
  <si>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</si>
  <si>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</si>
  <si>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</si>
  <si>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</si>
  <si>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</si>
  <si>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</si>
  <si>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</si>
  <si>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</si>
  <si>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</si>
  <si>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</si>
  <si>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</si>
  <si>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</si>
  <si>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</si>
  <si>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</si>
  <si>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</si>
  <si>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</si>
  <si>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</si>
  <si>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</si>
  <si>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</si>
  <si>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</si>
  <si>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</si>
  <si>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</si>
  <si>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</si>
  <si>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</si>
  <si>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</si>
  <si>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</si>
  <si>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</si>
  <si>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</si>
  <si>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</si>
  <si>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</si>
  <si>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</si>
  <si>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</si>
  <si>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</si>
  <si>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</si>
  <si>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</si>
  <si>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</si>
  <si>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</si>
  <si>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</si>
  <si>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</si>
  <si>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</si>
  <si>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</si>
  <si>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</si>
  <si>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</si>
  <si>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</si>
  <si>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</si>
  <si>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</si>
  <si>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</si>
  <si>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</si>
  <si>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</si>
  <si>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</si>
  <si>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</si>
  <si>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</si>
  <si>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</si>
  <si>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</si>
  <si>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</si>
  <si>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</si>
  <si>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</si>
  <si>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</si>
  <si>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</si>
  <si>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</si>
  <si>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</si>
  <si>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</si>
  <si>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</si>
  <si>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</si>
  <si>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</si>
  <si>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</si>
  <si>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</si>
  <si>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</si>
  <si>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</si>
  <si>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</si>
  <si>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</si>
  <si>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</si>
  <si>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</si>
  <si>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</si>
  <si>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</si>
  <si>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</si>
  <si>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</si>
  <si>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</si>
  <si>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</si>
  <si>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</si>
  <si>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</si>
  <si>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</si>
  <si>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</si>
  <si>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</si>
  <si>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</si>
  <si>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</si>
  <si>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</si>
  <si>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</si>
  <si>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</si>
  <si>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</si>
  <si>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</si>
  <si>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</si>
  <si>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</si>
  <si>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</si>
  <si>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</si>
  <si>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</si>
  <si>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</si>
  <si>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</si>
  <si>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</si>
  <si>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</si>
  <si>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</si>
  <si>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</si>
  <si>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</si>
  <si>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</si>
  <si>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</si>
  <si>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</si>
  <si>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</si>
  <si>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</si>
  <si>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</si>
  <si>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</si>
  <si>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</si>
  <si>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</si>
  <si>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</si>
  <si>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</si>
  <si>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</si>
  <si>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</si>
  <si>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</si>
  <si>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</si>
  <si>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</si>
  <si>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</si>
  <si>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</si>
  <si>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</si>
  <si>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</si>
  <si>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</si>
  <si>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</si>
  <si>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</si>
  <si>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</si>
  <si>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</si>
  <si>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</si>
  <si>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</si>
  <si>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</si>
  <si>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</si>
  <si>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</si>
  <si>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</si>
  <si>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</si>
  <si>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</si>
  <si>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</si>
  <si>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</si>
  <si>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</si>
  <si>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</si>
  <si>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</si>
  <si>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</si>
  <si>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</si>
  <si>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</si>
  <si>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</si>
  <si>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</si>
  <si>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</si>
  <si>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</si>
  <si>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</si>
  <si>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</si>
  <si>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</si>
  <si>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</si>
  <si>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</si>
  <si>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</si>
  <si>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</si>
  <si>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</si>
  <si>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</si>
  <si>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</si>
  <si>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</si>
  <si>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</si>
  <si>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</si>
  <si>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</si>
  <si>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</si>
  <si>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</si>
  <si>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</si>
  <si>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</si>
  <si>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</si>
  <si>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</si>
  <si>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</si>
  <si>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</si>
  <si>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</si>
  <si>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</si>
  <si>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</si>
  <si>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</si>
  <si>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</si>
  <si>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</si>
  <si>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</si>
  <si>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</si>
  <si>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</si>
  <si>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</si>
  <si>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</si>
  <si>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</si>
  <si>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</si>
  <si>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</si>
  <si>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</si>
  <si>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</si>
  <si>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</si>
  <si>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</si>
  <si>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</si>
  <si>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</si>
  <si>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</si>
  <si>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</si>
  <si>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</si>
  <si>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</si>
  <si>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</si>
  <si>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</si>
  <si>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</si>
  <si>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</si>
  <si>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</si>
  <si>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</si>
  <si>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</si>
  <si>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</si>
  <si>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</si>
  <si>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</si>
  <si>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</si>
  <si>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</si>
  <si>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</si>
  <si>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</si>
  <si>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</si>
  <si>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</si>
  <si>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</si>
  <si>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</si>
  <si>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</si>
  <si>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</si>
  <si>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</si>
  <si>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</si>
  <si>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</si>
  <si>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</si>
  <si>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</si>
  <si>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</si>
  <si>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</si>
  <si>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</si>
  <si>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</si>
  <si>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</si>
  <si>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</si>
  <si>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</si>
  <si>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</si>
  <si>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</si>
  <si>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</si>
  <si>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</si>
  <si>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</si>
  <si>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</si>
  <si>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</si>
  <si>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</si>
  <si>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</si>
  <si>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</si>
  <si>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</si>
  <si>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</si>
  <si>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</si>
  <si>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</si>
  <si>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</si>
  <si>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</si>
  <si>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</si>
  <si>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</si>
  <si>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</si>
  <si>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</si>
  <si>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</si>
  <si>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</si>
  <si>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</si>
  <si>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</si>
  <si>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</si>
  <si>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</si>
  <si>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</si>
  <si>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</si>
  <si>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</si>
  <si>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</si>
  <si>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</si>
  <si>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</si>
  <si>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</si>
  <si>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</si>
  <si>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</si>
  <si>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</si>
  <si>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</si>
  <si>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</si>
  <si>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</si>
  <si>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</si>
  <si>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</si>
  <si>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</si>
  <si>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</si>
  <si>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</si>
  <si>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</si>
  <si>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</si>
  <si>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</si>
  <si>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</si>
  <si>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</si>
  <si>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</si>
  <si>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</si>
  <si>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</si>
  <si>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</si>
  <si>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</si>
  <si>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</si>
  <si>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</si>
  <si>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</si>
  <si>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</si>
  <si>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</si>
  <si>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</si>
  <si>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</si>
  <si>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</si>
  <si>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</si>
  <si>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</si>
  <si>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</si>
  <si>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</si>
  <si>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</si>
  <si>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</si>
  <si>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</si>
  <si>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</si>
  <si>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</si>
  <si>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</si>
  <si>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</si>
  <si>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</si>
  <si>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</si>
  <si>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</si>
  <si>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</si>
  <si>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</si>
  <si>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</si>
  <si>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</si>
  <si>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</si>
  <si>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</si>
  <si>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</si>
  <si>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</si>
  <si>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</si>
  <si>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</si>
  <si>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</si>
  <si>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</si>
  <si>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</si>
  <si>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</si>
  <si>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</si>
  <si>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</si>
  <si>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</si>
  <si>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</si>
  <si>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</si>
  <si>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</si>
  <si>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</si>
  <si>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</si>
  <si>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</si>
  <si>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</si>
  <si>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</si>
  <si>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</si>
  <si>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</si>
  <si>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</si>
  <si>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</si>
  <si>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</si>
  <si>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</si>
  <si>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</si>
  <si>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</si>
  <si>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</si>
  <si>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</si>
  <si>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</si>
  <si>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</si>
  <si>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</si>
  <si>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</si>
  <si>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</si>
  <si>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</si>
  <si>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</si>
  <si>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</si>
  <si>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</si>
  <si>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</si>
  <si>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</si>
  <si>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</si>
  <si>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</si>
  <si>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</si>
  <si>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</si>
  <si>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</si>
  <si>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</si>
  <si>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</si>
  <si>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</si>
  <si>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</si>
  <si>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</si>
  <si>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</si>
  <si>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</si>
  <si>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</si>
  <si>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</si>
  <si>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</si>
  <si>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</si>
  <si>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</si>
  <si>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</si>
  <si>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</si>
  <si>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</si>
  <si>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</si>
  <si>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</si>
  <si>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</si>
  <si>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</si>
  <si>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</si>
  <si>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</si>
  <si>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</si>
  <si>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</si>
  <si>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</si>
  <si>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</si>
  <si>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</si>
  <si>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</si>
  <si>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</si>
  <si>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</si>
  <si>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</si>
  <si>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</si>
  <si>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</si>
  <si>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</si>
  <si>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</si>
  <si>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</si>
  <si>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</si>
  <si>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</si>
  <si>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</si>
  <si>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</si>
  <si>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</si>
  <si>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</si>
  <si>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</si>
  <si>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</si>
  <si>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</si>
  <si>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</si>
  <si>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</si>
  <si>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</si>
  <si>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</si>
  <si>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</si>
  <si>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</si>
  <si>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</si>
  <si>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</si>
  <si>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</si>
  <si>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</si>
  <si>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</si>
  <si>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</si>
  <si>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</si>
  <si>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</si>
  <si>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</si>
  <si>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</si>
  <si>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</si>
  <si>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</si>
  <si>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</si>
  <si>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</si>
  <si>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</si>
  <si>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</si>
  <si>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</si>
  <si>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</si>
  <si>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</si>
  <si>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</si>
  <si>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</si>
  <si>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</si>
  <si>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</si>
  <si>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</si>
  <si>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</si>
  <si>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</si>
  <si>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</si>
  <si>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</si>
  <si>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</si>
  <si>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</si>
  <si>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</si>
  <si>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</si>
  <si>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</si>
  <si>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</si>
  <si>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</si>
  <si>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</si>
  <si>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</si>
  <si>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</si>
  <si>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</si>
  <si>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</si>
  <si>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</si>
  <si>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</si>
  <si>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</si>
  <si>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</si>
  <si>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</si>
  <si>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</si>
  <si>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</si>
  <si>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</si>
  <si>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</si>
  <si>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</si>
  <si>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</si>
  <si>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</si>
  <si>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</si>
  <si>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</si>
  <si>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</si>
  <si>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</si>
  <si>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</si>
  <si>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</si>
  <si>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</si>
  <si>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</si>
  <si>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</si>
  <si>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</si>
  <si>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</si>
  <si>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</si>
  <si>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</si>
  <si>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</si>
  <si>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</si>
  <si>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</si>
  <si>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</si>
  <si>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</si>
  <si>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</si>
  <si>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</si>
  <si>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</si>
  <si>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</si>
  <si>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</si>
  <si>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</si>
  <si>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</si>
  <si>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</si>
  <si>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</si>
  <si>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</si>
  <si>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</si>
  <si>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</si>
  <si>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</si>
  <si>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</si>
  <si>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</si>
  <si>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</si>
  <si>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</si>
  <si>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</si>
  <si>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</si>
  <si>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</si>
  <si>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</si>
  <si>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</si>
  <si>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</si>
  <si>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</si>
  <si>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</si>
  <si>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</si>
  <si>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</si>
  <si>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</si>
  <si>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</si>
  <si>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</si>
  <si>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</si>
  <si>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</si>
  <si>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</si>
  <si>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</si>
  <si>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</si>
  <si>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</si>
  <si>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</si>
  <si>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</si>
  <si>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</si>
  <si>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</si>
  <si>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</si>
  <si>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</si>
  <si>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</si>
  <si>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</si>
  <si>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</si>
  <si>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</si>
  <si>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</si>
  <si>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</si>
  <si>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</si>
  <si>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</si>
  <si>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</si>
  <si>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</si>
  <si>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</si>
  <si>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</si>
  <si>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</si>
  <si>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</si>
  <si>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</si>
  <si>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</si>
  <si>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</si>
  <si>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</si>
  <si>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</si>
  <si>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</si>
  <si>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</si>
  <si>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</si>
  <si>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</si>
  <si>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</si>
  <si>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</si>
  <si>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</si>
  <si>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</si>
  <si>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</si>
  <si>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</si>
  <si>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</si>
  <si>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</si>
  <si>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</si>
  <si>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</si>
  <si>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</si>
  <si>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</si>
  <si>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</si>
  <si>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</si>
  <si>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</si>
  <si>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</si>
  <si>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</si>
  <si>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</si>
  <si>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</si>
  <si>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</si>
  <si>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</si>
  <si>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</si>
  <si>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</si>
  <si>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</si>
  <si>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</si>
  <si>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</si>
  <si>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</si>
  <si>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</si>
  <si>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</si>
  <si>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</si>
  <si>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</si>
  <si>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</si>
  <si>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</si>
  <si>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</si>
  <si>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</si>
  <si>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</si>
  <si>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</si>
  <si>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</si>
  <si>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</si>
  <si>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</si>
  <si>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</si>
  <si>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</si>
  <si>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</si>
  <si>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</si>
  <si>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</si>
  <si>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</si>
  <si>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</si>
  <si>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</si>
  <si>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</si>
  <si>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</si>
  <si>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</si>
  <si>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</si>
  <si>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</si>
  <si>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</si>
  <si>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</si>
  <si>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</si>
  <si>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</si>
  <si>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</si>
  <si>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</si>
  <si>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</si>
  <si>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</si>
  <si>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</si>
  <si>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</si>
  <si>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</si>
  <si>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</si>
  <si>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</si>
  <si>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</si>
  <si>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</si>
  <si>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</si>
  <si>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</si>
  <si>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</si>
  <si>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</si>
  <si>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</si>
  <si>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</si>
  <si>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</si>
  <si>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</si>
  <si>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</si>
  <si>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</si>
  <si>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</si>
  <si>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</si>
  <si>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</si>
  <si>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</si>
  <si>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</si>
  <si>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</si>
  <si>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</si>
  <si>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</si>
  <si>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</si>
  <si>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</si>
  <si>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</si>
  <si>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</si>
  <si>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</si>
  <si>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</si>
  <si>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</si>
  <si>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</si>
  <si>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</si>
  <si>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</si>
  <si>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</si>
  <si>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</si>
  <si>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</si>
  <si>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</si>
  <si>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</si>
  <si>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</si>
  <si>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</si>
  <si>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</si>
  <si>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</si>
  <si>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</si>
  <si>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</si>
  <si>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</si>
  <si>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</si>
  <si>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</si>
  <si>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</si>
  <si>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</si>
  <si>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</si>
  <si>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</si>
  <si>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</si>
  <si>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</si>
  <si>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</si>
  <si>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</si>
  <si>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</si>
  <si>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</si>
  <si>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</si>
  <si>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</si>
  <si>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</si>
  <si>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</si>
  <si>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</si>
  <si>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</si>
  <si>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</si>
  <si>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</si>
  <si>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</si>
  <si>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</si>
  <si>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</si>
  <si>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</si>
  <si>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</si>
  <si>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</si>
  <si>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</si>
  <si>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</si>
  <si>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</si>
  <si>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</si>
  <si>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</si>
  <si>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</si>
  <si>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</si>
  <si>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</si>
  <si>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</si>
  <si>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</si>
  <si>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</si>
  <si>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</si>
  <si>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</si>
  <si>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</si>
  <si>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</si>
  <si>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</si>
  <si>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</si>
  <si>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</si>
  <si>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</si>
  <si>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</si>
  <si>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</si>
  <si>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</si>
  <si>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</si>
  <si>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</si>
  <si>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</si>
  <si>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</si>
  <si>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</si>
  <si>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</si>
  <si>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</si>
  <si>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</si>
  <si>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</si>
  <si>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</si>
  <si>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</si>
  <si>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</si>
  <si>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</si>
  <si>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</si>
  <si>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</si>
  <si>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</si>
  <si>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</si>
  <si>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</si>
  <si>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</si>
  <si>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</si>
  <si>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</si>
  <si>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</si>
  <si>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</si>
  <si>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</si>
  <si>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</si>
  <si>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</si>
  <si>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</si>
  <si>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</si>
  <si>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</si>
  <si>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</si>
  <si>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</si>
  <si>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</si>
  <si>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</si>
  <si>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</si>
  <si>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</si>
  <si>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</si>
  <si>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</si>
  <si>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</si>
  <si>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</si>
  <si>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</si>
  <si>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</si>
  <si>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</si>
  <si>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</si>
  <si>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</si>
  <si>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</si>
  <si>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</si>
  <si>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</si>
  <si>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</si>
  <si>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</si>
  <si>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</si>
  <si>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</si>
  <si>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</si>
  <si>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</si>
  <si>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</si>
  <si>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</si>
  <si>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</si>
  <si>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</si>
  <si>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</si>
  <si>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</si>
  <si>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</si>
  <si>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</si>
  <si>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</si>
  <si>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</si>
  <si>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</si>
  <si>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</si>
  <si>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</si>
  <si>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</si>
  <si>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</si>
  <si>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</si>
  <si>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</si>
  <si>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</si>
  <si>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</si>
  <si>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</si>
  <si>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</si>
  <si>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</si>
  <si>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</si>
  <si>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</si>
  <si>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</si>
  <si>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</si>
  <si>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</si>
  <si>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</si>
  <si>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</si>
  <si>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</si>
  <si>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</si>
  <si>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</si>
  <si>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</si>
  <si>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</si>
  <si>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</si>
  <si>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</si>
  <si>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</si>
  <si>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</si>
  <si>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</si>
  <si>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</si>
  <si>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</si>
  <si>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</si>
  <si>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</si>
  <si>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</si>
  <si>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</si>
  <si>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</si>
  <si>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</si>
  <si>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</si>
  <si>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</si>
  <si>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</si>
  <si>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</si>
  <si>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</si>
  <si>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</si>
  <si>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</si>
  <si>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</si>
  <si>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</si>
  <si>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</si>
  <si>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</si>
  <si>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</si>
  <si>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</si>
  <si>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</si>
  <si>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</si>
  <si>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</si>
  <si>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</si>
  <si>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</si>
  <si>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</si>
  <si>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</si>
  <si>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</si>
  <si>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</si>
  <si>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</si>
  <si>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</si>
  <si>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</si>
  <si>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</si>
  <si>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</si>
  <si>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</si>
  <si>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</si>
  <si>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</si>
  <si>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</si>
  <si>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</si>
  <si>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</si>
  <si>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</si>
  <si>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</si>
  <si>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</si>
  <si>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</si>
  <si>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</si>
  <si>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</si>
  <si>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</si>
  <si>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</si>
  <si>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</si>
  <si>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</si>
  <si>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</si>
  <si>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</si>
  <si>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</si>
  <si>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</si>
  <si>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</si>
  <si>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</si>
  <si>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</si>
  <si>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</si>
  <si>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</si>
  <si>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</si>
  <si>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</si>
  <si>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</si>
  <si>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</si>
  <si>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</si>
  <si>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</si>
  <si>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</si>
  <si>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</si>
  <si>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</si>
  <si>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</si>
  <si>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</si>
  <si>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</si>
  <si>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</si>
  <si>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</si>
  <si>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</si>
  <si>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</si>
  <si>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</si>
  <si>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</si>
  <si>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</si>
  <si>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</si>
  <si>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</si>
  <si>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</si>
  <si>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</si>
  <si>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</si>
  <si>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</si>
  <si>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</si>
  <si>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</si>
  <si>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</si>
  <si>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</si>
  <si>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</si>
  <si>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</si>
  <si>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</si>
  <si>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</si>
  <si>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</si>
  <si>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</si>
  <si>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</si>
  <si>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</si>
  <si>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</si>
  <si>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</si>
  <si>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</si>
  <si>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</si>
  <si>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</si>
  <si>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</si>
  <si>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</si>
  <si>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</si>
  <si>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</si>
  <si>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</si>
  <si>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</si>
  <si>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</si>
  <si>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</si>
  <si>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</si>
  <si>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</si>
  <si>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</si>
  <si>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</si>
  <si>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</si>
  <si>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</si>
  <si>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</si>
  <si>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</si>
  <si>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</si>
  <si>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</si>
  <si>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</si>
  <si>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</si>
  <si>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</si>
  <si>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</si>
  <si>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</si>
  <si>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</si>
  <si>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</si>
  <si>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</si>
  <si>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</si>
  <si>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</si>
  <si>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</si>
  <si>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</si>
  <si>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</si>
  <si>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</si>
  <si>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</si>
  <si>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</si>
  <si>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</si>
  <si>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</si>
  <si>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</si>
  <si>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</si>
  <si>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</si>
  <si>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</si>
  <si>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</si>
  <si>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</si>
  <si>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</si>
  <si>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</si>
  <si>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</si>
  <si>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</si>
  <si>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</si>
  <si>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</si>
  <si>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</si>
  <si>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</si>
  <si>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</si>
  <si>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</si>
  <si>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</si>
  <si>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</si>
  <si>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</si>
  <si>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</si>
  <si>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</si>
  <si>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</si>
  <si>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</si>
  <si>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</si>
  <si>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</si>
  <si>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</si>
  <si>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</si>
  <si>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</si>
  <si>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</si>
  <si>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</si>
  <si>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</si>
  <si>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</si>
  <si>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</si>
  <si>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</si>
  <si>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</si>
  <si>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</si>
  <si>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</si>
  <si>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</si>
  <si>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</si>
  <si>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</si>
  <si>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</si>
  <si>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</si>
  <si>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</si>
  <si>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</si>
  <si>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</si>
  <si>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</si>
  <si>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</si>
  <si>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</si>
  <si>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</si>
  <si>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</si>
  <si>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</si>
  <si>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</si>
  <si>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</si>
  <si>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</si>
  <si>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</si>
  <si>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</si>
  <si>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</si>
  <si>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</si>
  <si>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</si>
  <si>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</si>
  <si>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</si>
  <si>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</si>
  <si>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</si>
  <si>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</si>
  <si>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</si>
  <si>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</si>
  <si>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</si>
  <si>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</si>
  <si>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</si>
  <si>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</si>
  <si>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</si>
  <si>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</si>
  <si>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</si>
  <si>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</si>
  <si>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</si>
  <si>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</si>
  <si>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</si>
  <si>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</si>
  <si>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</si>
  <si>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</si>
  <si>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</si>
  <si>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</si>
  <si>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</si>
  <si>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</si>
  <si>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</si>
  <si>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</si>
  <si>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</si>
  <si>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</si>
  <si>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</si>
  <si>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</si>
  <si>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</si>
  <si>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</si>
  <si>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</si>
  <si>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</si>
  <si>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</si>
  <si>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</si>
  <si>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</si>
  <si>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</si>
  <si>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</si>
  <si>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</si>
  <si>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</si>
  <si>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</si>
  <si>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</si>
  <si>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</si>
  <si>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</si>
  <si>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</si>
  <si>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</si>
  <si>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</si>
  <si>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</si>
  <si>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</si>
  <si>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</si>
  <si>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</si>
  <si>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</si>
  <si>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</si>
  <si>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</si>
  <si>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</si>
  <si>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</si>
  <si>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</si>
  <si>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</si>
  <si>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</si>
  <si>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</si>
  <si>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</si>
  <si>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</si>
  <si>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</si>
  <si>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</si>
  <si>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</si>
  <si>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</si>
  <si>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</si>
  <si>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</si>
  <si>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</si>
  <si>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</si>
  <si>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</si>
  <si>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</si>
  <si>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</si>
  <si>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</si>
  <si>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</si>
  <si>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</si>
  <si>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</si>
  <si>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</si>
  <si>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</si>
  <si>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</si>
  <si>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</si>
  <si>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</si>
  <si>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</si>
  <si>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</si>
  <si>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</si>
  <si>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</si>
  <si>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</si>
  <si>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</si>
  <si>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</si>
  <si>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</si>
  <si>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</si>
  <si>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</si>
  <si>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</si>
  <si>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</si>
  <si>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</si>
  <si>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</si>
  <si>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</si>
  <si>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</si>
  <si>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</si>
  <si>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</si>
  <si>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</si>
  <si>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</si>
  <si>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</si>
  <si>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</si>
  <si>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</si>
  <si>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</si>
  <si>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</si>
  <si>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</si>
  <si>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</si>
  <si>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</si>
  <si>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</si>
  <si>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</si>
  <si>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</si>
  <si>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</si>
  <si>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</si>
  <si>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</si>
  <si>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</si>
  <si>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</si>
  <si>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</si>
  <si>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</si>
  <si>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</si>
  <si>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</si>
  <si>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</si>
  <si>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</si>
  <si>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</si>
  <si>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</si>
  <si>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</si>
  <si>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</si>
  <si>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</si>
  <si>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</si>
  <si>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</si>
  <si>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</si>
  <si>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</si>
  <si>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</si>
  <si>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</si>
  <si>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</si>
  <si>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</si>
  <si>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</si>
  <si>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</si>
  <si>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</si>
  <si>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</si>
  <si>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</si>
  <si>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</si>
  <si>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</si>
  <si>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</si>
  <si>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</si>
  <si>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</si>
  <si>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</si>
  <si>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</si>
  <si>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</si>
  <si>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</si>
  <si>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</si>
  <si>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</si>
  <si>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</si>
  <si>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</si>
  <si>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</si>
  <si>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</si>
  <si>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</si>
  <si>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</si>
  <si>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</si>
  <si>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</si>
  <si>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</si>
  <si>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</si>
  <si>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</si>
  <si>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</si>
  <si>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</si>
  <si>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</si>
  <si>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</si>
  <si>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</si>
  <si>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</si>
  <si>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</si>
  <si>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</si>
  <si>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</si>
  <si>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</si>
  <si>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</si>
  <si>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</si>
  <si>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</si>
  <si>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</si>
  <si>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</si>
  <si>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</si>
  <si>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</si>
  <si>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</si>
  <si>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</si>
  <si>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</si>
  <si>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</si>
  <si>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</si>
  <si>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</si>
  <si>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</si>
  <si>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</si>
  <si>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</si>
  <si>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</si>
  <si>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</si>
  <si>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</si>
  <si>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</si>
  <si>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</si>
  <si>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</si>
  <si>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</si>
  <si>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</si>
  <si>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</si>
  <si>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</si>
  <si>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</si>
  <si>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</si>
  <si>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</si>
  <si>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</si>
  <si>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</si>
  <si>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</si>
  <si>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</si>
  <si>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</si>
  <si>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</si>
  <si>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</si>
  <si>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</si>
  <si>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</si>
  <si>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</si>
  <si>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</si>
  <si>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</si>
  <si>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</si>
  <si>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</si>
  <si>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</si>
  <si>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</si>
  <si>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</si>
  <si>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</si>
  <si>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</si>
  <si>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</si>
  <si>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</si>
  <si>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</si>
  <si>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</si>
  <si>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</si>
  <si>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</si>
  <si>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</si>
  <si>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</si>
  <si>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</si>
  <si>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</si>
  <si>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</si>
  <si>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</si>
  <si>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</si>
  <si>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</si>
  <si>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</si>
  <si>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</si>
  <si>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</si>
  <si>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</si>
  <si>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</si>
  <si>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</si>
  <si>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</si>
  <si>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</si>
  <si>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</si>
  <si>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</si>
  <si>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</si>
  <si>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</si>
  <si>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</si>
  <si>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</si>
  <si>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</si>
  <si>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</si>
  <si>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</si>
  <si>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</si>
  <si>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</si>
  <si>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</si>
  <si>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</si>
  <si>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</si>
  <si>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</si>
  <si>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</si>
  <si>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</si>
  <si>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</si>
  <si>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</si>
  <si>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</si>
  <si>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</si>
  <si>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</si>
  <si>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</si>
  <si>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</si>
  <si>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</si>
  <si>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</si>
  <si>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</si>
  <si>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</si>
  <si>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</si>
  <si>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</si>
  <si>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</si>
  <si>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</si>
  <si>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</si>
  <si>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</si>
  <si>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</si>
  <si>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</si>
  <si>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</si>
  <si>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</si>
  <si>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</si>
  <si>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</si>
  <si>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</si>
  <si>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</si>
  <si>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</si>
  <si>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</si>
  <si>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</si>
  <si>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</si>
  <si>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</si>
  <si>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</si>
  <si>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</si>
  <si>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</si>
  <si>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</si>
  <si>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</si>
  <si>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</si>
  <si>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</si>
  <si>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</si>
  <si>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</si>
  <si>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</si>
  <si>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</si>
  <si>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</si>
  <si>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</si>
  <si>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</si>
  <si>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</si>
  <si>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</si>
  <si>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</si>
  <si>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</si>
  <si>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</si>
  <si>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</si>
  <si>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</si>
  <si>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</si>
  <si>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</si>
  <si>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</si>
  <si>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</si>
  <si>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</si>
  <si>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</si>
  <si>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</si>
  <si>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</si>
  <si>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</si>
  <si>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</si>
  <si>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</si>
  <si>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</si>
  <si>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</si>
  <si>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</si>
  <si>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</si>
  <si>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</si>
  <si>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</si>
  <si>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</si>
  <si>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</si>
  <si>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</si>
  <si>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</si>
  <si>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</si>
  <si>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</si>
  <si>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</si>
  <si>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</si>
  <si>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</si>
  <si>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</si>
  <si>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</si>
  <si>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</si>
  <si>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</si>
  <si>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</si>
  <si>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</si>
  <si>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</si>
  <si>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</si>
  <si>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</si>
  <si>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</si>
  <si>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</si>
  <si>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</si>
  <si>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</si>
  <si>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</si>
  <si>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</si>
  <si>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</si>
  <si>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</si>
  <si>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</si>
  <si>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</si>
  <si>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</si>
  <si>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</si>
  <si>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</si>
  <si>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</si>
  <si>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</si>
  <si>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</si>
  <si>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</si>
  <si>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</si>
  <si>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</si>
  <si>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</si>
  <si>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</si>
  <si>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</si>
  <si>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</si>
  <si>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</si>
  <si>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</si>
  <si>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</si>
  <si>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</si>
  <si>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</si>
  <si>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</si>
  <si>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</si>
  <si>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</si>
  <si>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</si>
  <si>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</si>
  <si>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</si>
  <si>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</si>
  <si>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</si>
  <si>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</si>
  <si>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</si>
  <si>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</si>
  <si>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</si>
  <si>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</si>
  <si>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</si>
  <si>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</si>
  <si>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</si>
  <si>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</si>
  <si>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</si>
  <si>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</si>
  <si>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</si>
  <si>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</si>
  <si>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</si>
  <si>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</si>
  <si>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</si>
  <si>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</si>
  <si>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</si>
  <si>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</si>
  <si>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</si>
  <si>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</si>
  <si>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</si>
  <si>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</si>
  <si>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</si>
  <si>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</si>
  <si>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</si>
  <si>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</si>
  <si>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</si>
  <si>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</si>
  <si>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</si>
  <si>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</si>
  <si>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</si>
  <si>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</si>
  <si>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</si>
  <si>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</si>
  <si>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</si>
  <si>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</si>
  <si>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</si>
  <si>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</si>
  <si>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</si>
  <si>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</si>
  <si>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</si>
  <si>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</si>
  <si>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</si>
  <si>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</si>
  <si>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</si>
  <si>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</si>
  <si>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</si>
  <si>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</si>
  <si>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</si>
  <si>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</si>
  <si>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</si>
  <si>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</si>
  <si>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</si>
  <si>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</si>
  <si>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</si>
  <si>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</si>
  <si>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</si>
  <si>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</si>
  <si>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</si>
  <si>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</si>
  <si>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</si>
  <si>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</si>
  <si>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</si>
  <si>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</si>
  <si>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</si>
  <si>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</si>
  <si>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</si>
  <si>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</si>
  <si>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</si>
  <si>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</si>
  <si>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</si>
  <si>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</si>
  <si>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</si>
  <si>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</si>
  <si>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</si>
  <si>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</si>
  <si>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</si>
  <si>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</si>
  <si>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</si>
  <si>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</si>
  <si>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</si>
  <si>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</si>
  <si>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</si>
  <si>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</si>
  <si>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</si>
  <si>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</si>
  <si>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</si>
  <si>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</si>
  <si>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</si>
  <si>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</si>
  <si>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</si>
  <si>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</si>
  <si>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</si>
  <si>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</si>
  <si>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</si>
  <si>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</si>
  <si>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</si>
  <si>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</si>
  <si>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</si>
  <si>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</si>
  <si>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</si>
  <si>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</si>
  <si>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</si>
  <si>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</si>
  <si>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</si>
  <si>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</si>
  <si>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</si>
  <si>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</si>
  <si>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</si>
  <si>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</si>
  <si>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</si>
  <si>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</si>
  <si>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</si>
  <si>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</si>
  <si>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</si>
  <si>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</si>
  <si>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</si>
  <si>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</si>
  <si>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</si>
  <si>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</si>
  <si>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</si>
  <si>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</si>
  <si>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</si>
  <si>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</si>
  <si>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</si>
  <si>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</si>
  <si>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</si>
  <si>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</si>
  <si>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</si>
  <si>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</si>
  <si>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</si>
  <si>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</si>
  <si>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</si>
  <si>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</si>
  <si>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</si>
  <si>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</si>
  <si>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</si>
  <si>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</si>
  <si>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</si>
  <si>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</si>
  <si>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</si>
  <si>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</si>
  <si>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</si>
  <si>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</si>
  <si>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</si>
  <si>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</si>
  <si>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</si>
  <si>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</si>
  <si>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</si>
  <si>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</si>
  <si>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</si>
  <si>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</si>
  <si>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</si>
  <si>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</si>
  <si>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</si>
  <si>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</si>
  <si>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</si>
  <si>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</si>
  <si>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</si>
  <si>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</si>
  <si>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</si>
  <si>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</si>
  <si>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</si>
  <si>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</si>
  <si>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</si>
  <si>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</si>
  <si>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</si>
  <si>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</si>
  <si>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</si>
  <si>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</si>
  <si>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</si>
  <si>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</si>
  <si>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</si>
  <si>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</si>
  <si>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</si>
  <si>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</si>
  <si>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</si>
  <si>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</si>
  <si>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</si>
  <si>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</si>
  <si>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</si>
  <si>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</si>
  <si>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</si>
  <si>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</si>
  <si>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</si>
  <si>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</si>
  <si>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</si>
  <si>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</si>
  <si>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</si>
  <si>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</si>
  <si>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</si>
  <si>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</si>
  <si>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</si>
  <si>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</si>
  <si>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</si>
  <si>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</si>
  <si>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</si>
  <si>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</si>
  <si>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</si>
  <si>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</si>
  <si>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</si>
  <si>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</si>
  <si>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</si>
  <si>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</si>
  <si>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</si>
  <si>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</si>
  <si>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</si>
  <si>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</si>
  <si>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</si>
  <si>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</si>
  <si>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</si>
  <si>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</si>
  <si>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</si>
  <si>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</si>
  <si>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</si>
  <si>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</si>
  <si>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</si>
  <si>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</si>
  <si>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</si>
  <si>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</si>
  <si>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</si>
  <si>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</si>
  <si>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</si>
  <si>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</si>
  <si>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</si>
  <si>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</si>
  <si>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</si>
  <si>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</si>
  <si>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</si>
  <si>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</si>
  <si>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</si>
  <si>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</si>
  <si>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</si>
  <si>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</si>
  <si>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</si>
  <si>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</si>
  <si>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</si>
  <si>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</si>
  <si>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</si>
  <si>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</si>
  <si>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</si>
  <si>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</si>
  <si>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</si>
  <si>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</si>
  <si>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</si>
  <si>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</si>
  <si>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</si>
  <si>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</si>
  <si>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</si>
  <si>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</si>
  <si>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</si>
  <si>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</si>
  <si>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</si>
  <si>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</si>
  <si>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</si>
  <si>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</si>
  <si>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</si>
  <si>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</si>
  <si>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</si>
  <si>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</si>
  <si>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</si>
  <si>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</si>
  <si>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</si>
  <si>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</si>
  <si>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</si>
  <si>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</si>
  <si>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</si>
  <si>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</si>
  <si>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</si>
  <si>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</si>
  <si>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</si>
  <si>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</si>
  <si>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</si>
  <si>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</si>
  <si>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</si>
  <si>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</si>
  <si>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</si>
  <si>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</si>
  <si>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</si>
  <si>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</si>
  <si>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</si>
  <si>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</si>
  <si>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</si>
  <si>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</si>
  <si>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</si>
  <si>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</si>
  <si>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</si>
  <si>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</si>
  <si>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</si>
  <si>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</si>
  <si>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</si>
  <si>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</si>
  <si>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</si>
  <si>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</si>
  <si>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</si>
  <si>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</si>
  <si>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</si>
  <si>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</si>
  <si>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</si>
  <si>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</si>
  <si>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</si>
  <si>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</si>
  <si>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</si>
  <si>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</si>
  <si>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</si>
  <si>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</si>
  <si>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</si>
  <si>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</si>
  <si>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</si>
  <si>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</si>
  <si>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</si>
  <si>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</si>
  <si>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</si>
  <si>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</si>
  <si>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</si>
  <si>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</si>
  <si>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</si>
  <si>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</si>
  <si>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</si>
  <si>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</si>
  <si>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</si>
  <si>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</si>
  <si>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</si>
  <si>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</si>
  <si>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</si>
  <si>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</si>
  <si>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</si>
  <si>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</si>
  <si>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</si>
  <si>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</si>
  <si>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</si>
  <si>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</si>
  <si>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</si>
  <si>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</si>
  <si>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</si>
  <si>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</si>
  <si>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</si>
  <si>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</si>
  <si>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</si>
  <si>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</si>
  <si>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</si>
  <si>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</si>
  <si>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</si>
  <si>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</si>
  <si>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</si>
  <si>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</si>
  <si>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</si>
  <si>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</si>
  <si>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</si>
  <si>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</si>
  <si>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</si>
  <si>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</si>
  <si>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</si>
  <si>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</si>
  <si>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</si>
  <si>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</si>
  <si>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</si>
  <si>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</si>
  <si>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</si>
  <si>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</si>
  <si>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</si>
  <si>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</si>
  <si>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</si>
  <si>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</si>
  <si>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</si>
  <si>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</si>
  <si>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</si>
  <si>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</si>
  <si>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</si>
  <si>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</si>
  <si>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</si>
  <si>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</si>
  <si>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</si>
  <si>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</si>
  <si>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</si>
  <si>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</si>
  <si>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</si>
  <si>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</si>
  <si>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</si>
  <si>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</si>
  <si>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</si>
  <si>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</si>
  <si>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</si>
  <si>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</si>
  <si>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</si>
  <si>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</si>
  <si>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</si>
  <si>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</si>
  <si>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</si>
  <si>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</si>
  <si>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</si>
  <si>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</si>
  <si>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</si>
  <si>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</si>
  <si>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</si>
  <si>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</si>
  <si>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</si>
  <si>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</si>
  <si>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</si>
  <si>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</si>
  <si>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</si>
  <si>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</si>
  <si>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</si>
  <si>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</si>
  <si>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</si>
  <si>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</si>
  <si>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</si>
  <si>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</si>
  <si>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</si>
  <si>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</si>
  <si>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</si>
  <si>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</si>
  <si>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</si>
  <si>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</si>
  <si>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</si>
  <si>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</si>
  <si>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</si>
  <si>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</si>
  <si>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</si>
  <si>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</si>
  <si>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</si>
  <si>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</si>
  <si>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</si>
  <si>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</si>
  <si>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</si>
  <si>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</si>
  <si>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</si>
  <si>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</si>
  <si>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</si>
  <si>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</si>
  <si>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</si>
  <si>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</si>
  <si>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</si>
  <si>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</si>
  <si>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</si>
  <si>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</si>
  <si>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</si>
  <si>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</si>
  <si>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</si>
  <si>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</si>
  <si>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</si>
  <si>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</si>
  <si>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</si>
  <si>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</si>
  <si>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</si>
  <si>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</si>
  <si>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</si>
  <si>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</si>
  <si>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</si>
  <si>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</si>
  <si>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</si>
  <si>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</si>
  <si>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</si>
  <si>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</si>
  <si>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</si>
  <si>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</si>
  <si>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</si>
  <si>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</si>
  <si>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</si>
  <si>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</si>
  <si>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</si>
  <si>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</si>
  <si>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</si>
  <si>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</si>
  <si>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</si>
  <si>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</si>
  <si>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</si>
  <si>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</si>
  <si>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</si>
  <si>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</si>
  <si>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</si>
  <si>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</si>
  <si>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</si>
  <si>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</si>
  <si>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</si>
  <si>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</si>
  <si>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</si>
  <si>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</si>
  <si>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</si>
  <si>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</si>
  <si>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</si>
  <si>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</si>
  <si>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</si>
  <si>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</si>
  <si>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</si>
  <si>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</si>
  <si>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</si>
  <si>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</si>
  <si>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</si>
  <si>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</si>
  <si>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</si>
  <si>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</si>
  <si>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</si>
  <si>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</si>
  <si>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</si>
  <si>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</si>
  <si>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</si>
  <si>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</si>
  <si>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</si>
  <si>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</si>
  <si>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</si>
  <si>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</si>
  <si>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</si>
  <si>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</si>
  <si>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</si>
  <si>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</si>
  <si>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</si>
  <si>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</si>
  <si>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</si>
  <si>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</si>
  <si>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</si>
  <si>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</si>
  <si>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</si>
  <si>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</si>
  <si>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</si>
  <si>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</si>
  <si>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</si>
  <si>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</si>
  <si>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</si>
  <si>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</si>
  <si>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</si>
  <si>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</si>
  <si>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</si>
  <si>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</si>
  <si>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</si>
  <si>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</si>
  <si>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</si>
  <si>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</si>
  <si>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</si>
  <si>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</si>
  <si>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</si>
  <si>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</si>
  <si>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</si>
  <si>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</si>
  <si>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</si>
  <si>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</si>
  <si>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</si>
  <si>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</si>
  <si>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</si>
  <si>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</si>
  <si>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</si>
  <si>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</si>
  <si>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</si>
  <si>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</si>
  <si>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</si>
  <si>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</si>
  <si>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</si>
  <si>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</si>
  <si>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</si>
  <si>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</si>
  <si>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</si>
  <si>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</si>
  <si>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</si>
  <si>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</si>
  <si>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</si>
  <si>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</si>
  <si>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</si>
  <si>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</si>
  <si>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</si>
  <si>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</si>
  <si>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</si>
  <si>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</si>
  <si>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</si>
  <si>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</si>
  <si>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</si>
  <si>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</si>
  <si>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</si>
  <si>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</si>
  <si>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</si>
  <si>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</si>
  <si>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</si>
  <si>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</si>
  <si>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</si>
  <si>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</si>
  <si>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</si>
  <si>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</si>
  <si>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</si>
  <si>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</si>
  <si>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</si>
  <si>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</si>
  <si>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</si>
  <si>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</si>
  <si>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</si>
  <si>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</si>
  <si>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</si>
  <si>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</si>
  <si>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</si>
  <si>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</si>
  <si>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</si>
  <si>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</si>
  <si>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</si>
  <si>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</si>
  <si>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</si>
  <si>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</si>
  <si>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</si>
  <si>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</si>
  <si>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</si>
  <si>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</si>
  <si>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</si>
  <si>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</si>
  <si>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</si>
  <si>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</si>
  <si>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</si>
  <si>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</si>
  <si>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</si>
  <si>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</si>
  <si>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</si>
  <si>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</si>
  <si>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</si>
  <si>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</si>
  <si>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</si>
  <si>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</si>
  <si>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</si>
  <si>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</si>
  <si>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</si>
  <si>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</si>
  <si>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</si>
  <si>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</si>
  <si>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</si>
  <si>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</si>
  <si>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</si>
  <si>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</si>
  <si>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</si>
  <si>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</si>
  <si>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</si>
  <si>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</si>
  <si>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</si>
  <si>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</si>
  <si>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</si>
  <si>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</si>
  <si>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</si>
  <si>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</si>
  <si>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</si>
  <si>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</si>
  <si>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</si>
  <si>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</si>
  <si>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</si>
  <si>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</si>
  <si>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</si>
  <si>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</si>
  <si>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</si>
  <si>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</si>
  <si>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</si>
  <si>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</si>
  <si>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</si>
  <si>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</si>
  <si>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</si>
  <si>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</si>
  <si>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</si>
  <si>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</si>
  <si>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</si>
  <si>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</si>
  <si>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</si>
  <si>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</si>
  <si>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</si>
  <si>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</si>
  <si>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</si>
  <si>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</si>
  <si>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</si>
  <si>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</si>
  <si>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</si>
  <si>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</si>
  <si>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</si>
  <si>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</si>
  <si>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</si>
  <si>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</si>
  <si>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</si>
  <si>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</si>
  <si>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</si>
  <si>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</si>
  <si>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</si>
  <si>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</si>
  <si>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</si>
  <si>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</si>
  <si>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</si>
  <si>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</si>
  <si>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</si>
  <si>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</si>
  <si>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</si>
  <si>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</si>
  <si>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</si>
  <si>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</si>
  <si>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</si>
  <si>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</si>
  <si>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</si>
  <si>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</si>
  <si>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</si>
  <si>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</si>
  <si>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</si>
  <si>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</si>
  <si>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</si>
  <si>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</si>
  <si>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</si>
  <si>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</si>
  <si>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</si>
  <si>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</si>
  <si>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</si>
  <si>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</si>
  <si>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</si>
  <si>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</si>
  <si>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</si>
  <si>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</si>
  <si>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</si>
  <si>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</si>
  <si>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</si>
  <si>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</si>
  <si>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</si>
  <si>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</si>
  <si>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</si>
  <si>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</si>
  <si>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</si>
  <si>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</si>
  <si>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</si>
  <si>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</si>
  <si>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</si>
  <si>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</si>
  <si>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</si>
  <si>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</si>
  <si>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</si>
  <si>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</si>
  <si>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</si>
  <si>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</si>
  <si>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</si>
  <si>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</si>
  <si>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</si>
  <si>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</si>
  <si>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</si>
  <si>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</si>
  <si>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</si>
  <si>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</si>
  <si>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</si>
  <si>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</si>
  <si>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</si>
  <si>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</si>
  <si>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</si>
  <si>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</si>
  <si>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</si>
  <si>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</si>
  <si>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</si>
  <si>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</si>
  <si>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</si>
  <si>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</si>
  <si>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</si>
  <si>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</si>
  <si>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</si>
  <si>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</si>
  <si>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</si>
  <si>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</si>
  <si>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</si>
  <si>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</si>
  <si>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</si>
  <si>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</si>
  <si>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</si>
  <si>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</si>
  <si>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</si>
  <si>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</si>
  <si>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</si>
  <si>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</si>
  <si>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</si>
  <si>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</si>
  <si>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</si>
  <si>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</si>
  <si>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</si>
  <si>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</si>
  <si>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</si>
  <si>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</si>
  <si>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</si>
  <si>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</si>
  <si>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</si>
  <si>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</si>
  <si>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</si>
  <si>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</si>
  <si>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</si>
  <si>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</si>
  <si>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</si>
  <si>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</si>
  <si>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</si>
  <si>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</si>
  <si>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</si>
  <si>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</si>
  <si>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</si>
  <si>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</si>
  <si>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</si>
  <si>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</si>
  <si>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</si>
  <si>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</si>
  <si>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</si>
  <si>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</si>
  <si>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</si>
  <si>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</si>
  <si>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</si>
  <si>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</si>
  <si>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</si>
  <si>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</si>
  <si>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</si>
  <si>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</si>
  <si>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</si>
  <si>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</si>
  <si>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</si>
  <si>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</si>
  <si>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</si>
  <si>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</si>
  <si>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</si>
  <si>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</si>
  <si>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</si>
  <si>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</si>
  <si>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</si>
  <si>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</si>
  <si>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</si>
  <si>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</si>
  <si>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</si>
  <si>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</si>
  <si>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</si>
  <si>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</si>
  <si>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</si>
  <si>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</si>
  <si>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</si>
  <si>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</si>
  <si>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</si>
  <si>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</si>
  <si>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</si>
  <si>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</si>
  <si>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</si>
  <si>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</si>
  <si>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</si>
  <si>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</si>
  <si>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</si>
  <si>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</si>
  <si>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</si>
  <si>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</si>
  <si>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</si>
  <si>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</si>
  <si>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</si>
  <si>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</si>
  <si>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</si>
  <si>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</si>
  <si>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</si>
  <si>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</si>
  <si>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</si>
  <si>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</si>
  <si>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</si>
  <si>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</si>
  <si>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</si>
  <si>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</si>
  <si>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</si>
  <si>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</si>
  <si>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</si>
  <si>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</si>
  <si>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</si>
  <si>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</si>
  <si>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</si>
  <si>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</si>
  <si>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</si>
  <si>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</si>
  <si>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</si>
  <si>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</si>
  <si>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</si>
  <si>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</si>
  <si>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</si>
  <si>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</si>
  <si>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</si>
  <si>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</si>
  <si>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</si>
  <si>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</si>
  <si>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</si>
  <si>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</si>
  <si>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</si>
  <si>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</si>
  <si>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</si>
  <si>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</si>
  <si>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</si>
  <si>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</si>
  <si>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</si>
  <si>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</si>
  <si>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</si>
  <si>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</si>
  <si>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</si>
  <si>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</si>
  <si>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</si>
  <si>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</si>
  <si>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</si>
  <si>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</si>
  <si>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</si>
  <si>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</si>
  <si>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</si>
  <si>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</si>
  <si>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</si>
  <si>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</si>
  <si>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</si>
  <si>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</si>
  <si>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</si>
  <si>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</si>
  <si>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</si>
  <si>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</si>
  <si>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</si>
  <si>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</si>
  <si>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</si>
  <si>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</si>
  <si>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</si>
  <si>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</si>
  <si>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</si>
  <si>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</si>
  <si>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</si>
  <si>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</si>
  <si>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</si>
  <si>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</si>
  <si>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</si>
  <si>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</si>
  <si>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</si>
  <si>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</si>
  <si>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</si>
  <si>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</si>
  <si>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</si>
  <si>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</si>
  <si>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</si>
  <si>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</si>
  <si>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</si>
  <si>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</si>
  <si>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</si>
  <si>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</si>
  <si>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</si>
  <si>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</si>
  <si>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</si>
  <si>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</si>
  <si>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</si>
  <si>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</si>
  <si>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</si>
  <si>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</si>
  <si>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</si>
  <si>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</si>
  <si>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</si>
  <si>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</si>
  <si>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</si>
  <si>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</si>
  <si>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</si>
  <si>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</si>
  <si>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</si>
  <si>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</si>
  <si>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</si>
  <si>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</si>
  <si>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</si>
  <si>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</si>
  <si>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</si>
  <si>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</si>
  <si>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</si>
  <si>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</si>
  <si>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</si>
  <si>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</si>
  <si>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</si>
  <si>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</si>
  <si>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</si>
  <si>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</si>
  <si>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</si>
  <si>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</si>
  <si>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</si>
  <si>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</si>
  <si>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</si>
  <si>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</si>
  <si>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</si>
  <si>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</si>
  <si>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</si>
  <si>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</si>
  <si>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</si>
  <si>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</si>
  <si>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</si>
  <si>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</si>
  <si>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</si>
  <si>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</si>
  <si>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</si>
  <si>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</si>
  <si>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</si>
  <si>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</si>
  <si>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</si>
  <si>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</si>
  <si>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</si>
  <si>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</si>
  <si>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</si>
  <si>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</si>
  <si>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</si>
  <si>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</si>
  <si>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</si>
  <si>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</si>
  <si>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</si>
  <si>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</si>
  <si>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</si>
  <si>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</si>
  <si>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</si>
  <si>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</si>
  <si>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</si>
  <si>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</si>
  <si>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</si>
  <si>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</si>
  <si>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</si>
  <si>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</si>
  <si>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</si>
  <si>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</si>
  <si>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</si>
  <si>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</si>
  <si>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</si>
  <si>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</si>
  <si>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</si>
  <si>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</si>
  <si>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</si>
  <si>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</si>
  <si>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</si>
  <si>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</si>
  <si>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</si>
  <si>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</si>
  <si>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</si>
  <si>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</si>
  <si>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</si>
  <si>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</si>
  <si>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</si>
  <si>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</si>
  <si>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</si>
  <si>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</si>
  <si>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</si>
  <si>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</si>
  <si>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</si>
  <si>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</si>
  <si>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</si>
  <si>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</si>
  <si>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</si>
  <si>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</si>
  <si>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</si>
  <si>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</si>
  <si>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</si>
  <si>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</si>
  <si>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</si>
  <si>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</si>
  <si>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</si>
  <si>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</si>
  <si>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</si>
  <si>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</si>
  <si>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</si>
  <si>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</si>
  <si>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</si>
  <si>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</si>
  <si>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</si>
  <si>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</si>
  <si>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</si>
  <si>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</si>
  <si>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</si>
  <si>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</si>
  <si>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</si>
  <si>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</si>
  <si>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</si>
  <si>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</si>
  <si>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</si>
  <si>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</si>
  <si>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</si>
  <si>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</si>
  <si>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</si>
  <si>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</si>
  <si>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</si>
  <si>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</si>
  <si>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</si>
  <si>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</si>
  <si>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</si>
  <si>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</si>
  <si>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</si>
  <si>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</si>
  <si>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</si>
  <si>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</si>
  <si>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</si>
  <si>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</si>
  <si>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</si>
  <si>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</si>
  <si>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</si>
  <si>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</si>
  <si>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</si>
  <si>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</si>
  <si>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</si>
  <si>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</si>
  <si>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</si>
  <si>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</si>
  <si>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</si>
  <si>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</si>
  <si>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</si>
  <si>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</si>
  <si>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</si>
  <si>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</si>
  <si>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</si>
  <si>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</si>
  <si>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</si>
  <si>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</si>
  <si>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</si>
  <si>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</si>
  <si>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</si>
  <si>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</si>
  <si>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</si>
  <si>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</si>
  <si>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</si>
  <si>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</si>
  <si>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</si>
  <si>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</si>
  <si>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</si>
  <si>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</si>
  <si>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</si>
  <si>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</si>
  <si>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</si>
  <si>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</si>
  <si>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</si>
  <si>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</si>
  <si>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</si>
  <si>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</si>
  <si>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</si>
  <si>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</si>
  <si>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</si>
  <si>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</si>
  <si>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</si>
  <si>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</si>
  <si>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</si>
  <si>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</si>
  <si>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</si>
  <si>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</si>
  <si>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</si>
  <si>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</si>
  <si>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</si>
  <si>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</si>
  <si>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</si>
  <si>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</si>
  <si>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</si>
  <si>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</si>
  <si>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</si>
  <si>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</si>
  <si>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</si>
  <si>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</si>
  <si>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</si>
  <si>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</si>
  <si>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</si>
  <si>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</si>
  <si>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</si>
  <si>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</si>
  <si>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</si>
  <si>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</si>
  <si>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</si>
  <si>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</si>
  <si>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</si>
  <si>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</si>
  <si>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</si>
  <si>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</si>
  <si>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</si>
  <si>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</si>
  <si>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</si>
  <si>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</si>
  <si>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</si>
  <si>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</si>
  <si>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</si>
  <si>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</si>
  <si>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</si>
  <si>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</si>
  <si>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</si>
  <si>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</si>
  <si>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</si>
  <si>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</si>
  <si>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</si>
  <si>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</si>
  <si>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</si>
  <si>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</si>
  <si>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</si>
  <si>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</si>
  <si>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</si>
  <si>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</si>
  <si>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</si>
  <si>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</si>
  <si>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</si>
  <si>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</si>
  <si>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</si>
  <si>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</si>
  <si>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</si>
  <si>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</si>
  <si>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</si>
  <si>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</si>
  <si>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</si>
  <si>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</si>
  <si>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</si>
  <si>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</si>
  <si>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</si>
  <si>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</si>
  <si>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</si>
  <si>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</si>
  <si>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</si>
  <si>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</si>
  <si>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</si>
  <si>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</si>
  <si>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</si>
  <si>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</si>
  <si>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</si>
  <si>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</si>
  <si>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</si>
  <si>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</si>
  <si>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</si>
  <si>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</si>
  <si>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</si>
  <si>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</si>
  <si>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</si>
  <si>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</si>
  <si>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</si>
  <si>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</si>
  <si>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</si>
  <si>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</si>
  <si>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</si>
  <si>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</si>
  <si>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</si>
  <si>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</si>
  <si>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</si>
  <si>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</si>
  <si>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</si>
  <si>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</si>
  <si>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</si>
  <si>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</si>
  <si>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</si>
  <si>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</si>
  <si>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</si>
  <si>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</si>
  <si>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</si>
  <si>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</si>
  <si>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</si>
  <si>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</si>
  <si>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</si>
  <si>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</si>
  <si>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</si>
  <si>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</si>
  <si>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</si>
  <si>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</si>
  <si>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</si>
  <si>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</si>
  <si>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</si>
  <si>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</si>
  <si>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</si>
  <si>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</si>
  <si>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</si>
  <si>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</si>
  <si>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</si>
  <si>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</si>
  <si>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</si>
  <si>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</si>
  <si>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</si>
  <si>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</si>
  <si>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</si>
  <si>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</si>
  <si>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</si>
  <si>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</si>
  <si>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</si>
  <si>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</si>
  <si>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</si>
  <si>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</si>
  <si>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</si>
  <si>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</si>
  <si>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</si>
  <si>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</si>
  <si>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</si>
  <si>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</si>
  <si>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</si>
  <si>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</si>
  <si>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</si>
  <si>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</si>
  <si>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</si>
  <si>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</si>
  <si>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</si>
  <si>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</si>
  <si>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</si>
  <si>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</si>
  <si>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</si>
  <si>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</si>
  <si>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</si>
  <si>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</si>
  <si>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</si>
  <si>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</si>
  <si>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</si>
  <si>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</si>
  <si>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</si>
  <si>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</si>
  <si>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</si>
  <si>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</si>
  <si>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</si>
  <si>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</si>
  <si>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</si>
  <si>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</si>
  <si>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</si>
  <si>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</si>
  <si>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</si>
  <si>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</si>
  <si>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</si>
  <si>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</si>
  <si>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</si>
  <si>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</si>
  <si>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</si>
  <si>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</si>
  <si>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</si>
  <si>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</si>
  <si>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</si>
  <si>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</si>
  <si>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</si>
  <si>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</si>
  <si>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</si>
  <si>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</si>
  <si>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</si>
  <si>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</si>
  <si>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</si>
  <si>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</si>
  <si>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</si>
  <si>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</si>
  <si>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</si>
  <si>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</si>
  <si>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</si>
  <si>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</si>
  <si>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</si>
  <si>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</si>
  <si>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</si>
  <si>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</si>
  <si>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</si>
  <si>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</si>
  <si>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</si>
  <si>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</si>
  <si>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</si>
  <si>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</si>
  <si>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</si>
  <si>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</si>
  <si>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</si>
  <si>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</si>
  <si>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</si>
  <si>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</si>
  <si>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</si>
  <si>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</si>
  <si>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</si>
  <si>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</si>
  <si>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</si>
  <si>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</si>
  <si>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</si>
  <si>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</si>
  <si>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</si>
  <si>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</si>
  <si>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</si>
  <si>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</si>
  <si>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</si>
  <si>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</si>
  <si>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</si>
  <si>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</si>
  <si>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</si>
  <si>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</si>
  <si>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</si>
  <si>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</si>
  <si>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</si>
  <si>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</si>
  <si>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</si>
  <si>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</si>
  <si>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</si>
  <si>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</si>
  <si>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</si>
  <si>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</si>
  <si>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</si>
  <si>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</si>
  <si>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</si>
  <si>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</si>
  <si>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</si>
  <si>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</si>
  <si>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</si>
  <si>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</si>
  <si>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</si>
  <si>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</si>
  <si>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</si>
  <si>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</si>
  <si>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</si>
  <si>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</si>
  <si>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</si>
  <si>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</si>
  <si>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</si>
  <si>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</si>
  <si>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</si>
  <si>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</si>
  <si>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</si>
  <si>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</si>
  <si>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</si>
  <si>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</si>
  <si>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</si>
  <si>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</si>
  <si>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</si>
  <si>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</si>
  <si>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</si>
  <si>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</si>
  <si>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</si>
  <si>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</si>
  <si>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</si>
  <si>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</si>
  <si>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</si>
  <si>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</si>
  <si>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</si>
  <si>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</si>
  <si>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</si>
  <si>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</si>
  <si>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</si>
  <si>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</si>
  <si>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</si>
  <si>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</si>
  <si>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</si>
  <si>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</si>
  <si>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</si>
  <si>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</si>
  <si>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</si>
  <si>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</si>
  <si>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</si>
  <si>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</si>
  <si>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</si>
  <si>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</si>
  <si>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</si>
  <si>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</si>
  <si>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</si>
  <si>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</si>
  <si>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</si>
  <si>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</si>
  <si>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</si>
  <si>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</si>
  <si>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</si>
  <si>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</si>
  <si>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</si>
  <si>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</si>
  <si>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</si>
  <si>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</si>
  <si>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</si>
  <si>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</si>
  <si>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</si>
  <si>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</si>
  <si>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</si>
  <si>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</si>
  <si>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</si>
  <si>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</si>
  <si>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</si>
  <si>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</si>
  <si>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</si>
  <si>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</si>
  <si>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</si>
  <si>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</si>
  <si>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</si>
  <si>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</si>
  <si>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</si>
  <si>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</si>
  <si>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</si>
  <si>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</si>
  <si>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</si>
  <si>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</si>
  <si>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</si>
  <si>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</si>
  <si>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</si>
  <si>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</si>
  <si>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</si>
  <si>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</si>
  <si>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</si>
  <si>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</si>
  <si>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</si>
  <si>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</si>
  <si>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</si>
  <si>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</si>
  <si>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</si>
  <si>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</si>
  <si>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</si>
  <si>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</si>
  <si>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</si>
  <si>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</si>
  <si>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</si>
  <si>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</si>
  <si>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</si>
  <si>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</si>
  <si>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</si>
  <si>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</si>
  <si>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</si>
  <si>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</si>
  <si>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</si>
  <si>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</si>
  <si>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</si>
  <si>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</si>
  <si>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</si>
  <si>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</si>
  <si>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</si>
  <si>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</si>
  <si>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</si>
  <si>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</si>
  <si>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</si>
  <si>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</si>
  <si>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</si>
  <si>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</si>
  <si>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</si>
  <si>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</si>
  <si>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</si>
  <si>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</si>
  <si>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</si>
  <si>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</si>
  <si>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</si>
  <si>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</si>
  <si>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</si>
  <si>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</si>
  <si>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</si>
  <si>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</si>
  <si>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</si>
  <si>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</si>
  <si>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</si>
  <si>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</si>
  <si>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</si>
  <si>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</si>
  <si>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</si>
  <si>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</si>
  <si>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</si>
  <si>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</si>
  <si>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</si>
  <si>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</si>
  <si>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</si>
  <si>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</si>
  <si>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</si>
  <si>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</si>
  <si>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</si>
  <si>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</si>
  <si>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</si>
  <si>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</si>
  <si>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</si>
  <si>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</si>
  <si>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</si>
  <si>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</si>
  <si>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</si>
  <si>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</si>
  <si>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</si>
  <si>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</si>
  <si>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</si>
  <si>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</si>
  <si>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</si>
  <si>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</si>
  <si>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</si>
  <si>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</si>
  <si>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</si>
  <si>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</si>
  <si>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</si>
  <si>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</si>
  <si>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</si>
  <si>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</si>
  <si>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</si>
  <si>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</si>
  <si>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</si>
  <si>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</si>
  <si>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</si>
  <si>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</si>
  <si>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</si>
  <si>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</si>
  <si>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</si>
  <si>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</si>
  <si>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</si>
  <si>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</si>
  <si>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</si>
  <si>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</si>
  <si>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</si>
  <si>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</si>
  <si>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</si>
  <si>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</si>
  <si>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</si>
  <si>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</si>
  <si>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</si>
  <si>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</si>
  <si>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</si>
  <si>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</si>
  <si>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</si>
  <si>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</si>
  <si>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</si>
  <si>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</si>
  <si>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</si>
  <si>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</si>
  <si>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</si>
  <si>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</si>
  <si>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</si>
  <si>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</si>
  <si>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</si>
  <si>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</si>
  <si>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</si>
  <si>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</si>
  <si>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</si>
  <si>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</si>
  <si>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</si>
  <si>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</si>
  <si>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</si>
  <si>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</si>
  <si>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</si>
  <si>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</si>
  <si>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</si>
  <si>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</si>
  <si>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</si>
  <si>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</si>
  <si>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</si>
  <si>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</si>
  <si>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</si>
  <si>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</si>
  <si>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</si>
  <si>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</si>
  <si>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</si>
  <si>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</si>
  <si>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</si>
  <si>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</si>
  <si>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</si>
  <si>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</si>
  <si>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</si>
  <si>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</si>
  <si>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</si>
  <si>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</si>
  <si>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</si>
  <si>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</si>
  <si>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</si>
  <si>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</si>
  <si>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</si>
  <si>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</si>
  <si>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</si>
  <si>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</si>
  <si>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</si>
  <si>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</si>
  <si>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</si>
  <si>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</si>
  <si>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</si>
  <si>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</si>
  <si>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</si>
  <si>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</si>
  <si>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</si>
  <si>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</si>
  <si>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</si>
  <si>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</si>
  <si>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</si>
  <si>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</si>
  <si>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</si>
  <si>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</si>
  <si>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</si>
  <si>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</si>
  <si>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</si>
  <si>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</si>
  <si>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</si>
  <si>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</si>
  <si>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</si>
  <si>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</si>
  <si>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</si>
  <si>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</si>
  <si>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</si>
  <si>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</si>
  <si>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</si>
  <si>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</si>
  <si>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</si>
  <si>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</si>
  <si>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</si>
  <si>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</si>
  <si>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</si>
  <si>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</si>
  <si>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</si>
  <si>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</si>
  <si>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</si>
  <si>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</si>
  <si>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</si>
  <si>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</si>
  <si>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</si>
  <si>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</si>
  <si>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</si>
  <si>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</si>
  <si>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</si>
  <si>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</si>
  <si>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</si>
  <si>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QUO-01866-B7J1D2</t>
  </si>
  <si>
    <t>Honda Web Enhancment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</si>
</sst>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169"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73"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1" fillId="4" borderId="0" xfId="0" applyFont="1" applyFill="1" applyAlignment="1">
      <alignment horizont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80" fillId="4" borderId="0" xfId="1" applyNumberFormat="1" applyFont="1" applyFill="1" applyAlignment="1">
      <alignment horizontal="left" vertical="top" indent="2"/>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66">
      <pivotArea type="all" dataOnly="0" outline="0" fieldPosition="0"/>
    </format>
    <format dxfId="265">
      <pivotArea outline="0" collapsedLevelsAreSubtotals="1" fieldPosition="0"/>
    </format>
    <format dxfId="264">
      <pivotArea dataOnly="0" labelOnly="1" grandRow="1" outline="0" fieldPosition="0"/>
    </format>
    <format dxfId="263">
      <pivotArea dataOnly="0" labelOnly="1" outline="0" axis="axisValues" fieldPosition="0"/>
    </format>
    <format dxfId="262">
      <pivotArea type="all" dataOnly="0" outline="0" fieldPosition="0"/>
    </format>
    <format dxfId="261">
      <pivotArea outline="0" collapsedLevelsAreSubtotals="1" fieldPosition="0"/>
    </format>
    <format dxfId="260">
      <pivotArea dataOnly="0" labelOnly="1" grandRow="1" outline="0" fieldPosition="0"/>
    </format>
    <format dxfId="259">
      <pivotArea dataOnly="0" labelOnly="1" outline="0" axis="axisValues" fieldPosition="0"/>
    </format>
    <format dxfId="258">
      <pivotArea type="all" dataOnly="0" outline="0" fieldPosition="0"/>
    </format>
    <format dxfId="257">
      <pivotArea outline="0" collapsedLevelsAreSubtotals="1" fieldPosition="0"/>
    </format>
    <format dxfId="256">
      <pivotArea dataOnly="0" labelOnly="1" grandRow="1" outline="0" fieldPosition="0"/>
    </format>
    <format dxfId="255">
      <pivotArea dataOnly="0" labelOnly="1" outline="0" axis="axisValues" fieldPosition="0"/>
    </format>
    <format dxfId="254">
      <pivotArea type="all" dataOnly="0" outline="0" fieldPosition="0"/>
    </format>
    <format dxfId="253">
      <pivotArea outline="0" collapsedLevelsAreSubtotals="1" fieldPosition="0"/>
    </format>
    <format dxfId="252">
      <pivotArea dataOnly="0" labelOnly="1" grandRow="1" outline="0" fieldPosition="0"/>
    </format>
    <format dxfId="251">
      <pivotArea dataOnly="0" labelOnly="1" outline="0" axis="axisValues" fieldPosition="0"/>
    </format>
    <format dxfId="250">
      <pivotArea grandRow="1" outline="0" collapsedLevelsAreSubtotals="1" fieldPosition="0"/>
    </format>
    <format dxfId="249">
      <pivotArea dataOnly="0" labelOnly="1" grandRow="1" outline="0" fieldPosition="0"/>
    </format>
    <format dxfId="248">
      <pivotArea type="all" dataOnly="0" outline="0" fieldPosition="0"/>
    </format>
    <format dxfId="247">
      <pivotArea dataOnly="0" labelOnly="1" outline="0" axis="axisValues" fieldPosition="0"/>
    </format>
    <format dxfId="246">
      <pivotArea field="2" type="button" dataOnly="0" labelOnly="1" outline="0" axis="axisRow" fieldPosition="1"/>
    </format>
    <format dxfId="245">
      <pivotArea dataOnly="0" labelOnly="1" outline="0" axis="axisValues" fieldPosition="0"/>
    </format>
    <format dxfId="244">
      <pivotArea field="2" type="button" dataOnly="0" labelOnly="1" outline="0" axis="axisRow" fieldPosition="1"/>
    </format>
    <format dxfId="243">
      <pivotArea dataOnly="0" labelOnly="1" outline="0" axis="axisValues" fieldPosition="0"/>
    </format>
    <format dxfId="242">
      <pivotArea dataOnly="0" labelOnly="1" fieldPosition="0">
        <references count="1">
          <reference field="2" count="0"/>
        </references>
      </pivotArea>
    </format>
    <format dxfId="241">
      <pivotArea outline="0" collapsedLevelsAreSubtotals="1" fieldPosition="0"/>
    </format>
    <format dxfId="240">
      <pivotArea dataOnly="0" labelOnly="1" fieldPosition="0">
        <references count="1">
          <reference field="2" count="11">
            <x v="0"/>
            <x v="2"/>
            <x v="3"/>
            <x v="4"/>
            <x v="5"/>
            <x v="6"/>
            <x v="7"/>
            <x v="8"/>
            <x v="9"/>
            <x v="10"/>
            <x v="11"/>
          </reference>
        </references>
      </pivotArea>
    </format>
    <format dxfId="239">
      <pivotArea dataOnly="0" labelOnly="1" grandRow="1" outline="0" fieldPosition="0"/>
    </format>
    <format dxfId="238">
      <pivotArea field="0" type="button" dataOnly="0" labelOnly="1" outline="0" axis="axisRow" fieldPosition="0"/>
    </format>
    <format dxfId="237">
      <pivotArea field="0" type="button" dataOnly="0" labelOnly="1" outline="0" axis="axisRow" fieldPosition="0"/>
    </format>
    <format dxfId="236">
      <pivotArea dataOnly="0" labelOnly="1" grandRow="1" outline="0" offset="A256" fieldPosition="0"/>
    </format>
    <format dxfId="235">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24" t="s">
        <v>2360</v>
      </c>
      <c r="C8" s="1624"/>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3" t="s">
        <v>6</v>
      </c>
      <c r="C11" s="1623"/>
      <c r="D11" s="854"/>
      <c r="E11" s="854"/>
      <c r="F11" s="773"/>
      <c r="H11" s="771"/>
      <c r="W11" s="772"/>
    </row>
    <row r="12" spans="1:30" ht="13.8" x14ac:dyDescent="0.3">
      <c r="A12" s="769"/>
      <c r="B12" s="1623" t="s">
        <v>2359</v>
      </c>
      <c r="C12" s="1623"/>
      <c r="H12" s="476"/>
      <c r="W12" s="772"/>
    </row>
    <row r="13" spans="1:30" ht="13.95" customHeight="1" x14ac:dyDescent="0.3">
      <c r="A13" s="769"/>
      <c r="B13" s="1623" t="s">
        <v>2356</v>
      </c>
      <c r="C13" s="1623"/>
      <c r="H13" s="476"/>
      <c r="U13" s="774"/>
      <c r="W13" s="772"/>
    </row>
    <row r="14" spans="1:30" ht="13.95" customHeight="1" x14ac:dyDescent="0.3">
      <c r="A14" s="769"/>
      <c r="B14" s="1623" t="s">
        <v>3</v>
      </c>
      <c r="C14" s="1623"/>
      <c r="G14" s="775"/>
      <c r="H14" s="476"/>
      <c r="U14" s="770"/>
      <c r="W14" s="772"/>
    </row>
    <row r="15" spans="1:30" ht="13.95" customHeight="1" x14ac:dyDescent="0.3">
      <c r="A15" s="769"/>
      <c r="B15" s="1623" t="s">
        <v>5</v>
      </c>
      <c r="C15" s="1623"/>
      <c r="H15" s="476"/>
      <c r="U15" s="407"/>
      <c r="W15" s="772"/>
    </row>
    <row r="16" spans="1:30" ht="13.8" x14ac:dyDescent="0.3">
      <c r="A16" s="769"/>
      <c r="B16" s="1627" t="s">
        <v>2354</v>
      </c>
      <c r="C16" s="1627"/>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5" t="s">
        <v>2365</v>
      </c>
      <c r="C19" s="1625"/>
      <c r="H19" s="476"/>
      <c r="W19" s="772"/>
    </row>
    <row r="20" spans="1:23" ht="13.8" x14ac:dyDescent="0.3">
      <c r="A20" s="769"/>
      <c r="B20" s="1625" t="s">
        <v>2362</v>
      </c>
      <c r="C20" s="1625"/>
      <c r="H20" s="476"/>
      <c r="W20" s="772"/>
    </row>
    <row r="21" spans="1:23" ht="13.8" x14ac:dyDescent="0.3">
      <c r="A21" s="769"/>
      <c r="B21" s="1630" t="s">
        <v>2395</v>
      </c>
      <c r="C21" s="1631"/>
      <c r="H21" s="476"/>
      <c r="W21" s="772"/>
    </row>
    <row r="22" spans="1:23" ht="13.8" x14ac:dyDescent="0.3">
      <c r="A22" s="769"/>
      <c r="B22" s="1630" t="s">
        <v>2396</v>
      </c>
      <c r="C22" s="1631"/>
      <c r="H22" s="476"/>
      <c r="W22" s="772"/>
    </row>
    <row r="23" spans="1:23" ht="13.8" x14ac:dyDescent="0.3">
      <c r="A23" s="769"/>
      <c r="B23" s="1630" t="s">
        <v>2397</v>
      </c>
      <c r="C23" s="1631"/>
      <c r="H23" s="476"/>
      <c r="W23" s="772"/>
    </row>
    <row r="24" spans="1:23" ht="13.8" x14ac:dyDescent="0.3">
      <c r="A24" s="769"/>
      <c r="B24" s="1630" t="s">
        <v>2398</v>
      </c>
      <c r="C24" s="1631"/>
      <c r="W24" s="772"/>
    </row>
    <row r="25" spans="1:23" ht="13.8" x14ac:dyDescent="0.3">
      <c r="A25" s="769"/>
      <c r="B25" s="1628" t="s">
        <v>3188</v>
      </c>
      <c r="C25" s="1629"/>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6"/>
      <c r="F31" s="1626"/>
      <c r="G31" s="1626"/>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22" activePane="bottomLeft" state="frozen"/>
      <selection activeCell="G20" sqref="G20"/>
      <selection pane="bottomLeft" activeCell="C33" sqref="C33:F33"/>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36" t="s">
        <v>0</v>
      </c>
      <c r="E2" s="1637"/>
      <c r="F2" s="1638"/>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53" t="s">
        <v>3250</v>
      </c>
      <c r="C7" s="1653"/>
      <c r="D7" s="1653"/>
      <c r="E7" s="1653"/>
      <c r="F7" s="1653"/>
      <c r="G7" s="848"/>
      <c r="H7" s="848"/>
      <c r="I7" s="848"/>
      <c r="L7" s="847"/>
    </row>
    <row r="8" spans="2:15" s="624" customFormat="1" ht="13.8" x14ac:dyDescent="0.3">
      <c r="B8" s="1659" t="s">
        <v>2310</v>
      </c>
      <c r="C8" s="1659"/>
      <c r="D8" s="1659"/>
      <c r="E8" s="1659"/>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60" t="s">
        <v>3252</v>
      </c>
      <c r="C10" s="1660"/>
      <c r="D10" s="1660"/>
      <c r="E10" s="1660"/>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44" t="s">
        <v>2167</v>
      </c>
      <c r="C16" s="1645"/>
      <c r="I16" s="413"/>
      <c r="J16" s="395"/>
      <c r="K16" s="395"/>
      <c r="L16" s="405"/>
    </row>
    <row r="17" spans="2:12" ht="19.95" customHeight="1" x14ac:dyDescent="0.3">
      <c r="B17" s="865" t="s">
        <v>15</v>
      </c>
      <c r="C17" s="866" t="s">
        <v>295</v>
      </c>
      <c r="D17" s="831"/>
      <c r="E17" s="1639" t="s">
        <v>2269</v>
      </c>
      <c r="F17" s="1640"/>
      <c r="G17" s="418"/>
      <c r="I17" s="416"/>
      <c r="J17" s="416"/>
      <c r="K17" s="416"/>
      <c r="L17" s="413"/>
    </row>
    <row r="18" spans="2:12" ht="24.45" customHeight="1" x14ac:dyDescent="0.3">
      <c r="B18" s="867" t="s">
        <v>1304</v>
      </c>
      <c r="C18" s="868" t="s">
        <v>1431</v>
      </c>
      <c r="D18" s="419"/>
      <c r="E18" s="1641"/>
      <c r="F18" s="1642"/>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3693</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45891</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2195</v>
      </c>
      <c r="J31" s="395"/>
      <c r="K31" s="398"/>
    </row>
    <row r="32" spans="2:12" ht="19.95" customHeight="1" x14ac:dyDescent="0.3">
      <c r="B32" s="867" t="s">
        <v>2366</v>
      </c>
      <c r="C32" s="872" t="s">
        <v>2194</v>
      </c>
      <c r="D32" s="420"/>
      <c r="J32" s="395"/>
      <c r="K32" s="398"/>
    </row>
    <row r="33" spans="2:15" ht="26.25" customHeight="1" x14ac:dyDescent="0.3">
      <c r="B33" s="797" t="s">
        <v>2349</v>
      </c>
      <c r="C33" s="1661"/>
      <c r="D33" s="1661"/>
      <c r="E33" s="1661"/>
      <c r="F33" s="1661"/>
      <c r="G33" s="403"/>
      <c r="H33" s="403"/>
      <c r="I33" s="403"/>
      <c r="J33" s="427"/>
      <c r="K33" s="428"/>
      <c r="L33" s="403"/>
      <c r="M33" s="403"/>
      <c r="N33" s="428"/>
      <c r="O33" s="428"/>
    </row>
    <row r="34" spans="2:15" s="624" customFormat="1" ht="28.95" customHeight="1" x14ac:dyDescent="0.3">
      <c r="B34" s="1655" t="s">
        <v>2375</v>
      </c>
      <c r="C34" s="1655"/>
      <c r="D34" s="1655"/>
      <c r="E34" s="1655"/>
      <c r="F34" s="1655"/>
      <c r="G34" s="1262"/>
      <c r="H34" s="1262"/>
    </row>
    <row r="35" spans="2:15" s="624" customFormat="1" ht="29.55" customHeight="1" x14ac:dyDescent="0.3">
      <c r="B35" s="1656" t="s">
        <v>3200</v>
      </c>
      <c r="C35" s="1656"/>
      <c r="D35" s="1656"/>
      <c r="E35" s="1656"/>
      <c r="F35" s="1656"/>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46" t="s">
        <v>2313</v>
      </c>
      <c r="C37" s="1647"/>
      <c r="D37" s="397"/>
      <c r="E37" s="412"/>
      <c r="H37" s="397"/>
      <c r="I37" s="412"/>
      <c r="K37" s="395"/>
      <c r="L37" s="429"/>
      <c r="M37" s="429"/>
    </row>
    <row r="38" spans="2:15" x14ac:dyDescent="0.3">
      <c r="B38" s="1634" t="s">
        <v>3178</v>
      </c>
      <c r="C38" s="1635"/>
      <c r="D38" s="430"/>
      <c r="E38" s="1643"/>
      <c r="F38" s="431"/>
      <c r="G38" s="432"/>
      <c r="H38" s="397"/>
      <c r="I38" s="433"/>
      <c r="J38" s="433"/>
      <c r="K38" s="433"/>
      <c r="L38" s="433"/>
      <c r="M38" s="433"/>
    </row>
    <row r="39" spans="2:15" x14ac:dyDescent="0.3">
      <c r="B39" s="1648" t="s">
        <v>3179</v>
      </c>
      <c r="C39" s="1649"/>
      <c r="D39" s="430"/>
      <c r="E39" s="1643"/>
      <c r="F39" s="431"/>
      <c r="G39" s="432"/>
      <c r="H39" s="397"/>
      <c r="I39" s="434"/>
      <c r="J39" s="432"/>
      <c r="K39" s="425"/>
      <c r="L39" s="432"/>
      <c r="M39" s="435"/>
    </row>
    <row r="40" spans="2:15" ht="17.25" customHeight="1" x14ac:dyDescent="0.3">
      <c r="B40" s="1648" t="s">
        <v>3180</v>
      </c>
      <c r="C40" s="1649"/>
      <c r="D40" s="430"/>
      <c r="E40" s="1643"/>
      <c r="F40" s="431"/>
      <c r="G40" s="432"/>
      <c r="H40" s="397"/>
      <c r="I40" s="434"/>
      <c r="J40" s="432"/>
      <c r="K40" s="425"/>
      <c r="L40" s="432"/>
      <c r="M40" s="435"/>
    </row>
    <row r="41" spans="2:15" x14ac:dyDescent="0.3">
      <c r="B41" s="1648" t="s">
        <v>3181</v>
      </c>
      <c r="C41" s="1649"/>
      <c r="D41" s="430"/>
      <c r="E41" s="1643"/>
      <c r="F41" s="436"/>
      <c r="G41" s="432"/>
      <c r="H41" s="397"/>
      <c r="I41" s="434"/>
      <c r="J41" s="432"/>
      <c r="K41" s="425"/>
      <c r="L41" s="432"/>
      <c r="M41" s="435"/>
    </row>
    <row r="42" spans="2:15" x14ac:dyDescent="0.3">
      <c r="B42" s="1648" t="s">
        <v>3182</v>
      </c>
      <c r="C42" s="1649"/>
      <c r="D42" s="430"/>
      <c r="E42" s="1643"/>
      <c r="F42" s="436"/>
      <c r="G42" s="432"/>
      <c r="H42" s="397"/>
      <c r="I42" s="434"/>
      <c r="J42" s="432"/>
      <c r="K42" s="425"/>
      <c r="L42" s="432"/>
      <c r="M42" s="435"/>
    </row>
    <row r="43" spans="2:15" x14ac:dyDescent="0.3">
      <c r="B43" s="1648" t="s">
        <v>3183</v>
      </c>
      <c r="C43" s="1649"/>
      <c r="D43" s="430"/>
      <c r="E43" s="1643"/>
      <c r="F43" s="436"/>
      <c r="G43" s="432"/>
      <c r="H43" s="397"/>
      <c r="I43" s="434"/>
      <c r="J43" s="432"/>
      <c r="K43" s="425"/>
      <c r="L43" s="432"/>
      <c r="M43" s="435"/>
    </row>
    <row r="44" spans="2:15" x14ac:dyDescent="0.3">
      <c r="B44" s="1632" t="s">
        <v>2242</v>
      </c>
      <c r="C44" s="1633"/>
      <c r="D44" s="430"/>
      <c r="E44" s="1643"/>
      <c r="F44" s="436"/>
      <c r="G44" s="432"/>
      <c r="H44" s="397"/>
      <c r="I44" s="434"/>
      <c r="J44" s="432"/>
      <c r="K44" s="437"/>
      <c r="L44" s="432"/>
      <c r="M44" s="435"/>
    </row>
    <row r="45" spans="2:15" x14ac:dyDescent="0.3">
      <c r="B45" s="1632" t="s">
        <v>2243</v>
      </c>
      <c r="C45" s="1633"/>
      <c r="D45" s="430"/>
      <c r="E45" s="1643"/>
      <c r="F45" s="436"/>
      <c r="G45" s="432"/>
      <c r="H45" s="397"/>
      <c r="I45" s="438"/>
      <c r="J45" s="432"/>
      <c r="K45" s="437"/>
      <c r="L45" s="432"/>
      <c r="M45" s="437"/>
    </row>
    <row r="46" spans="2:15" x14ac:dyDescent="0.3">
      <c r="B46" s="1632" t="s">
        <v>2244</v>
      </c>
      <c r="C46" s="1633"/>
      <c r="D46" s="430"/>
      <c r="E46" s="1643"/>
      <c r="F46" s="436"/>
      <c r="G46" s="432"/>
      <c r="H46" s="397"/>
      <c r="J46" s="397"/>
      <c r="K46" s="395"/>
    </row>
    <row r="47" spans="2:15" x14ac:dyDescent="0.3">
      <c r="B47" s="1632" t="s">
        <v>2245</v>
      </c>
      <c r="C47" s="1633"/>
      <c r="D47" s="430"/>
      <c r="E47" s="1643"/>
      <c r="F47" s="436"/>
      <c r="G47" s="432"/>
      <c r="H47" s="397"/>
      <c r="I47" s="439"/>
      <c r="J47" s="395"/>
      <c r="K47" s="395"/>
    </row>
    <row r="48" spans="2:15" x14ac:dyDescent="0.3">
      <c r="B48" s="1632" t="s">
        <v>2246</v>
      </c>
      <c r="C48" s="1633"/>
      <c r="D48" s="430"/>
      <c r="E48" s="440"/>
      <c r="F48" s="441"/>
      <c r="G48" s="442"/>
      <c r="H48" s="397"/>
      <c r="I48" s="413"/>
      <c r="J48" s="443"/>
      <c r="K48" s="443"/>
      <c r="L48" s="413"/>
      <c r="M48" s="413"/>
    </row>
    <row r="49" spans="2:15" x14ac:dyDescent="0.3">
      <c r="B49" s="1632" t="s">
        <v>2247</v>
      </c>
      <c r="C49" s="1633"/>
      <c r="D49" s="430"/>
      <c r="E49" s="440"/>
      <c r="F49" s="441"/>
      <c r="G49" s="442"/>
      <c r="H49" s="397"/>
      <c r="I49" s="413"/>
      <c r="J49" s="443"/>
      <c r="K49" s="443"/>
      <c r="L49" s="413"/>
      <c r="M49" s="413"/>
    </row>
    <row r="50" spans="2:15" x14ac:dyDescent="0.3">
      <c r="B50" s="1632" t="s">
        <v>2248</v>
      </c>
      <c r="C50" s="1633"/>
      <c r="D50" s="430"/>
      <c r="E50" s="440"/>
      <c r="F50" s="441"/>
      <c r="G50" s="442"/>
      <c r="H50" s="397"/>
      <c r="I50" s="413"/>
      <c r="J50" s="443"/>
      <c r="K50" s="443"/>
      <c r="L50" s="413"/>
      <c r="M50" s="413"/>
    </row>
    <row r="51" spans="2:15" x14ac:dyDescent="0.3">
      <c r="B51" s="1632" t="s">
        <v>2249</v>
      </c>
      <c r="C51" s="1633"/>
      <c r="D51" s="430"/>
      <c r="E51" s="440"/>
      <c r="F51" s="441"/>
      <c r="G51" s="442"/>
      <c r="H51" s="397"/>
      <c r="I51" s="413"/>
      <c r="J51" s="443"/>
      <c r="K51" s="443"/>
      <c r="L51" s="413"/>
      <c r="M51" s="413"/>
    </row>
    <row r="52" spans="2:15" x14ac:dyDescent="0.3">
      <c r="B52" s="1632" t="s">
        <v>2250</v>
      </c>
      <c r="C52" s="1633"/>
      <c r="D52" s="430"/>
      <c r="E52" s="440"/>
      <c r="F52" s="441"/>
      <c r="G52" s="442"/>
      <c r="H52" s="397"/>
      <c r="I52" s="413"/>
      <c r="J52" s="443"/>
      <c r="K52" s="443"/>
      <c r="L52" s="413"/>
      <c r="M52" s="413"/>
    </row>
    <row r="53" spans="2:15" x14ac:dyDescent="0.3">
      <c r="B53" s="1632" t="s">
        <v>2251</v>
      </c>
      <c r="C53" s="1633"/>
      <c r="D53" s="430"/>
      <c r="E53" s="440"/>
      <c r="F53" s="441"/>
      <c r="G53" s="442"/>
      <c r="H53" s="397"/>
      <c r="I53" s="413"/>
      <c r="J53" s="443"/>
      <c r="K53" s="443"/>
      <c r="L53" s="413"/>
      <c r="M53" s="413"/>
    </row>
    <row r="54" spans="2:15" x14ac:dyDescent="0.3">
      <c r="B54" s="1632" t="s">
        <v>2252</v>
      </c>
      <c r="C54" s="1633"/>
      <c r="D54" s="430"/>
      <c r="E54" s="440"/>
      <c r="F54" s="441"/>
      <c r="G54" s="442"/>
      <c r="H54" s="397"/>
      <c r="I54" s="413"/>
      <c r="J54" s="443"/>
      <c r="K54" s="443"/>
      <c r="L54" s="413"/>
      <c r="M54" s="413"/>
    </row>
    <row r="55" spans="2:15" x14ac:dyDescent="0.3">
      <c r="B55" s="1632" t="s">
        <v>2253</v>
      </c>
      <c r="C55" s="1633"/>
      <c r="D55" s="430"/>
      <c r="E55" s="440"/>
      <c r="F55" s="441"/>
      <c r="G55" s="442"/>
      <c r="H55" s="397"/>
      <c r="I55" s="413"/>
      <c r="J55" s="443"/>
      <c r="K55" s="443"/>
      <c r="L55" s="413"/>
      <c r="M55" s="413"/>
    </row>
    <row r="56" spans="2:15" x14ac:dyDescent="0.3">
      <c r="B56" s="1632" t="s">
        <v>2254</v>
      </c>
      <c r="C56" s="1633"/>
      <c r="D56" s="430"/>
      <c r="E56" s="440"/>
      <c r="F56" s="441"/>
      <c r="G56" s="442"/>
      <c r="H56" s="397"/>
      <c r="I56" s="413"/>
      <c r="J56" s="443"/>
      <c r="K56" s="443"/>
      <c r="L56" s="413"/>
      <c r="M56" s="413"/>
    </row>
    <row r="57" spans="2:15" x14ac:dyDescent="0.3">
      <c r="B57" s="1657" t="s">
        <v>2255</v>
      </c>
      <c r="C57" s="1658"/>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50" t="s">
        <v>3177</v>
      </c>
      <c r="C60" s="1650"/>
      <c r="D60" s="1650"/>
      <c r="E60" s="1650"/>
      <c r="F60" s="1214"/>
      <c r="G60" s="1214"/>
      <c r="H60" s="1209"/>
      <c r="I60" s="838"/>
      <c r="J60" s="849"/>
      <c r="K60" s="850"/>
      <c r="L60" s="838"/>
      <c r="M60" s="838"/>
      <c r="N60" s="851"/>
      <c r="O60" s="851"/>
    </row>
    <row r="61" spans="2:15" s="624" customFormat="1" x14ac:dyDescent="0.3">
      <c r="B61" s="1654" t="s">
        <v>2404</v>
      </c>
      <c r="C61" s="1654"/>
      <c r="D61" s="1654"/>
      <c r="E61" s="1654"/>
      <c r="F61" s="1654"/>
      <c r="G61" s="1654"/>
      <c r="H61" s="1654"/>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51" t="s">
        <v>2163</v>
      </c>
      <c r="C63" s="1652"/>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topLeftCell="D1" zoomScale="85" zoomScaleNormal="85" workbookViewId="0">
      <pane ySplit="4" topLeftCell="A286" activePane="bottomLeft" state="frozen"/>
      <selection activeCell="G20" sqref="G20"/>
      <selection pane="bottomLeft" activeCell="AB171" sqref="Y171:AB171"/>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13"/>
      <c r="AI1" s="1713"/>
      <c r="AJ1" s="1713"/>
    </row>
    <row r="2" spans="1:152" s="469" customFormat="1" ht="25.8" x14ac:dyDescent="0.25">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05" customHeight="1" x14ac:dyDescent="0.3">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3.95" customHeight="1" x14ac:dyDescent="0.3">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718" t="s">
        <v>3246</v>
      </c>
      <c r="D15" s="1718"/>
      <c r="E15" s="1718"/>
      <c r="F15" s="1718"/>
      <c r="G15" s="1718"/>
      <c r="H15" s="1718"/>
      <c r="I15" s="1718"/>
      <c r="AH15" s="845"/>
      <c r="AI15" s="846"/>
      <c r="AJ15" s="846"/>
    </row>
    <row r="16" spans="1:152" x14ac:dyDescent="0.25">
      <c r="AH16" s="404"/>
      <c r="AI16" s="477"/>
      <c r="AJ16" s="477"/>
    </row>
    <row r="17" spans="3:97" ht="23.55" customHeight="1" x14ac:dyDescent="0.25">
      <c r="C17" s="1702" t="s">
        <v>2199</v>
      </c>
      <c r="D17" s="1703"/>
      <c r="E17" s="1703"/>
      <c r="F17" s="1704"/>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737" t="s">
        <v>1304</v>
      </c>
      <c r="D19" s="1737"/>
      <c r="E19" s="1672" t="str">
        <f>'1. Project Inputs'!C18</f>
        <v>C Spire</v>
      </c>
      <c r="F19" s="1673"/>
      <c r="G19" s="491"/>
      <c r="H19" s="491"/>
      <c r="I19" s="491"/>
      <c r="J19" s="491"/>
      <c r="K19" s="413"/>
      <c r="L19" s="1607" t="s">
        <v>2021</v>
      </c>
      <c r="M19" s="1608">
        <f>'3. Financial Inputs'!C67</f>
        <v>61280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737" t="s">
        <v>19</v>
      </c>
      <c r="D21" s="1737"/>
      <c r="E21" s="1672" t="str">
        <f>'1. Project Inputs'!C19</f>
        <v>TA Digital</v>
      </c>
      <c r="F21" s="1673"/>
      <c r="G21" s="488"/>
      <c r="H21" s="488"/>
      <c r="I21" s="488"/>
      <c r="J21" s="488"/>
      <c r="K21" s="494"/>
      <c r="L21" s="1607" t="s">
        <v>3299</v>
      </c>
      <c r="M21" s="1610">
        <f>'4. Summary &amp; Totals'!C45</f>
        <v>787521</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737" t="s">
        <v>3212</v>
      </c>
      <c r="D22" s="1737"/>
      <c r="E22" s="1672" t="str">
        <f>'1. Project Inputs'!C20</f>
        <v>No</v>
      </c>
      <c r="F22" s="1673"/>
      <c r="G22" s="488"/>
      <c r="H22" s="488"/>
      <c r="I22" s="488"/>
      <c r="J22" s="488"/>
      <c r="K22" s="494"/>
      <c r="L22" s="1607" t="s">
        <v>1673</v>
      </c>
      <c r="M22" s="1609">
        <f>'4. Summary &amp; Totals'!C37</f>
        <v>0.53970619544390042</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738" t="s">
        <v>22</v>
      </c>
      <c r="D24" s="1738"/>
      <c r="E24" s="1672" t="str">
        <f>'1. Project Inputs'!C23</f>
        <v>Honda Web Enhancment</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737" t="s">
        <v>1890</v>
      </c>
      <c r="D28" s="1737"/>
      <c r="E28" s="1674">
        <f>'1. Project Inputs'!C27</f>
        <v>45891</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737" t="s">
        <v>27</v>
      </c>
      <c r="D29" s="1737"/>
      <c r="E29" s="1674" t="str">
        <f>'1. Project Inputs'!C28</f>
        <v>T&amp;M</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699" t="s">
        <v>2292</v>
      </c>
      <c r="G32" s="1699"/>
      <c r="H32" s="1699"/>
      <c r="I32" s="1699"/>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05" t="s">
        <v>3202</v>
      </c>
      <c r="D35" s="1705"/>
      <c r="E35" s="1705"/>
      <c r="F35" s="1705"/>
      <c r="G35" s="1705"/>
      <c r="H35" s="1705"/>
      <c r="I35" s="1705"/>
      <c r="J35" s="1705"/>
      <c r="K35" s="1705"/>
      <c r="L35" s="1705"/>
      <c r="M35" s="1705"/>
      <c r="N35" s="1705"/>
      <c r="O35" s="1705"/>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700" t="s">
        <v>3235</v>
      </c>
      <c r="D37" s="1700"/>
      <c r="E37" s="1700"/>
      <c r="F37" s="1700"/>
      <c r="G37" s="1700"/>
      <c r="H37" s="1700"/>
      <c r="I37" s="1700"/>
      <c r="J37" s="1700"/>
      <c r="K37" s="1700"/>
      <c r="L37" s="1700"/>
      <c r="M37" s="1700"/>
      <c r="N37" s="1700"/>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700" t="s">
        <v>3236</v>
      </c>
      <c r="D38" s="1700"/>
      <c r="E38" s="1700"/>
      <c r="F38" s="1700"/>
      <c r="G38" s="1700"/>
      <c r="H38" s="1700"/>
      <c r="I38" s="1700"/>
      <c r="J38" s="1700"/>
      <c r="K38" s="1700"/>
      <c r="L38" s="1700"/>
      <c r="M38" s="1700"/>
      <c r="N38" s="1700"/>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700" t="s">
        <v>3238</v>
      </c>
      <c r="D40" s="1700"/>
      <c r="E40" s="1700"/>
      <c r="F40" s="1700"/>
      <c r="G40" s="1700"/>
      <c r="H40" s="1700"/>
      <c r="I40" s="1700"/>
      <c r="J40" s="1700"/>
      <c r="K40" s="1700"/>
      <c r="L40" s="1700"/>
      <c r="M40" s="1700"/>
      <c r="N40" s="1700"/>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700" t="s">
        <v>3239</v>
      </c>
      <c r="D42" s="1700"/>
      <c r="E42" s="1700"/>
      <c r="F42" s="1700"/>
      <c r="G42" s="1700"/>
      <c r="H42" s="1700"/>
      <c r="I42" s="1700"/>
      <c r="J42" s="1700"/>
      <c r="K42" s="1700"/>
      <c r="L42" s="1700"/>
      <c r="M42" s="1700"/>
      <c r="N42" s="1700"/>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06" t="s">
        <v>3240</v>
      </c>
      <c r="D43" s="1706"/>
      <c r="E43" s="1706"/>
      <c r="F43" s="1706"/>
      <c r="G43" s="1706"/>
      <c r="H43" s="1706"/>
      <c r="I43" s="1706"/>
      <c r="J43" s="1706"/>
      <c r="K43" s="1706"/>
      <c r="L43" s="1706"/>
      <c r="M43" s="1706"/>
      <c r="N43" s="1706"/>
      <c r="O43" s="842"/>
      <c r="P43" s="842"/>
      <c r="Q43" s="842"/>
      <c r="R43" s="842"/>
      <c r="S43" s="842"/>
      <c r="T43" s="841"/>
      <c r="U43" s="841"/>
      <c r="V43" s="841"/>
      <c r="W43" s="841"/>
      <c r="X43" s="841"/>
      <c r="Y43" s="1663" t="str">
        <f>IF(COUNTIFS(Y48:Y147,"&gt;40")&gt;0,"You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3.95" customHeight="1" x14ac:dyDescent="0.3">
      <c r="B44" s="841"/>
      <c r="C44" s="1707" t="s">
        <v>3241</v>
      </c>
      <c r="D44" s="1707"/>
      <c r="E44" s="1707"/>
      <c r="F44" s="1707"/>
      <c r="G44" s="1707"/>
      <c r="H44" s="1707"/>
      <c r="I44" s="1707"/>
      <c r="J44" s="1707"/>
      <c r="K44" s="1707"/>
      <c r="L44" s="1707"/>
      <c r="M44" s="1707"/>
      <c r="N44" s="1707"/>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25">
      <c r="Y45" s="1663"/>
      <c r="Z45" s="1663"/>
      <c r="AA45" s="1663"/>
      <c r="AB45" s="1663"/>
    </row>
    <row r="46" spans="1:97" s="624" customFormat="1" ht="13.95" customHeight="1" x14ac:dyDescent="0.3">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7" t="s">
        <v>367</v>
      </c>
      <c r="L48" s="1688"/>
      <c r="M48" s="1689"/>
      <c r="N48" s="1190" cm="1">
        <f t="array" ref="N48">IF($E$20="Credera US",V48,SUMPRODUCT(('Rates &amp; Drop Downs INT'!$CG$6:$CG$747=$D48)*('Rates &amp; Drop Downs INT'!$CI$6:$CI$747=$F48)*('Rates &amp; Drop Downs INT'!$CK$6:$CK$747=$K48)*('Rates &amp; Drop Downs INT'!$CM$6:$CM$747)))</f>
        <v>2</v>
      </c>
      <c r="O48" s="1701"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1"/>
      <c r="Q48" s="1701"/>
      <c r="R48" s="1701"/>
      <c r="S48" s="1701"/>
      <c r="T48" s="1709"/>
      <c r="U48" s="1709"/>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680" t="s">
        <v>78</v>
      </c>
      <c r="AD48" s="1681"/>
      <c r="AE48" s="1596" t="s">
        <v>275</v>
      </c>
      <c r="AF48" s="891" t="s">
        <v>78</v>
      </c>
      <c r="AH48" s="1725"/>
      <c r="AI48" s="172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7" t="s">
        <v>367</v>
      </c>
      <c r="L49" s="1688"/>
      <c r="M49" s="1689"/>
      <c r="N49" s="1190" cm="1">
        <f t="array" ref="N49">IF($E$20="Credera US",V49,SUMPRODUCT(('Rates &amp; Drop Downs INT'!$CG$6:$CG$747=$D49)*('Rates &amp; Drop Downs INT'!$CI$6:$CI$747=$F49)*('Rates &amp; Drop Downs INT'!$CK$6:$CK$747=$K49)*('Rates &amp; Drop Downs INT'!$CM$6:$CM$747)))</f>
        <v>2</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66" t="s">
        <v>78</v>
      </c>
      <c r="AD49" s="1667"/>
      <c r="AE49" s="881" t="s">
        <v>78</v>
      </c>
      <c r="AF49" s="892" t="s">
        <v>78</v>
      </c>
      <c r="AH49" s="1725"/>
      <c r="AI49" s="172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7" t="s">
        <v>749</v>
      </c>
      <c r="L50" s="1688"/>
      <c r="M50" s="1689"/>
      <c r="N50" s="1190" cm="1">
        <f t="array" ref="N50">IF($E$20="Credera US",V50,SUMPRODUCT(('Rates &amp; Drop Downs INT'!$CG$6:$CG$747=$D50)*('Rates &amp; Drop Downs INT'!$CI$6:$CI$747=$F50)*('Rates &amp; Drop Downs INT'!$CK$6:$CK$747=$K50)*('Rates &amp; Drop Downs INT'!$CM$6:$CM$747)))</f>
        <v>2</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f>IFERROR(IF(ISBLANK(K50)," ",_xlfn.XLOOKUP(K50,'Rates &amp; Drop Downs INT'!C:C,'Rates &amp; Drop Downs INT'!J:J)),N50)</f>
        <v>2</v>
      </c>
      <c r="W50" s="1203" t="str">
        <f t="shared" si="0"/>
        <v>Onshore</v>
      </c>
      <c r="X50" s="1203"/>
      <c r="Y50" s="880">
        <v>40</v>
      </c>
      <c r="Z50" s="1187"/>
      <c r="AA50" s="1190"/>
      <c r="AB50" s="1274"/>
      <c r="AC50" s="1666" t="s">
        <v>78</v>
      </c>
      <c r="AD50" s="1667"/>
      <c r="AE50" s="881" t="s">
        <v>78</v>
      </c>
      <c r="AF50" s="892"/>
      <c r="AH50" s="1725"/>
      <c r="AI50" s="172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7" t="s">
        <v>749</v>
      </c>
      <c r="L51" s="1688"/>
      <c r="M51" s="1689"/>
      <c r="N51" s="1190" cm="1">
        <f t="array" ref="N51">IF($E$20="Credera US",V51,SUMPRODUCT(('Rates &amp; Drop Downs INT'!$CG$6:$CG$747=$D51)*('Rates &amp; Drop Downs INT'!$CI$6:$CI$747=$F51)*('Rates &amp; Drop Downs INT'!$CK$6:$CK$747=$K51)*('Rates &amp; Drop Downs INT'!$CM$6:$CM$747)))</f>
        <v>2</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f>IFERROR(IF(ISBLANK(K51)," ",_xlfn.XLOOKUP(K51,'Rates &amp; Drop Downs INT'!C:C,'Rates &amp; Drop Downs INT'!J:J)),N51)</f>
        <v>2</v>
      </c>
      <c r="W51" s="1203" t="str">
        <f t="shared" si="0"/>
        <v>Offshore</v>
      </c>
      <c r="X51" s="1203"/>
      <c r="Y51" s="880">
        <v>40</v>
      </c>
      <c r="Z51" s="1187"/>
      <c r="AA51" s="1190"/>
      <c r="AB51" s="1274"/>
      <c r="AC51" s="1666" t="s">
        <v>78</v>
      </c>
      <c r="AD51" s="1667"/>
      <c r="AE51" s="881"/>
      <c r="AF51" s="892" t="s">
        <v>78</v>
      </c>
      <c r="AH51" s="1725"/>
      <c r="AI51" s="172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7" t="s">
        <v>536</v>
      </c>
      <c r="L52" s="1688"/>
      <c r="M52" s="1689"/>
      <c r="N52" s="1190" cm="1">
        <f t="array" ref="N52">IF($E$20="Credera US",V52,SUMPRODUCT(('Rates &amp; Drop Downs INT'!$CG$6:$CG$747=$D52)*('Rates &amp; Drop Downs INT'!$CI$6:$CI$747=$F52)*('Rates &amp; Drop Downs INT'!$CK$6:$CK$747=$K52)*('Rates &amp; Drop Downs INT'!$CM$6:$CM$747)))</f>
        <v>3</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f>IFERROR(IF(ISBLANK(K52)," ",_xlfn.XLOOKUP(K52,'Rates &amp; Drop Downs INT'!C:C,'Rates &amp; Drop Downs INT'!J:J)),N52)</f>
        <v>0</v>
      </c>
      <c r="W52" s="1203" t="str">
        <f t="shared" si="0"/>
        <v>Onshore</v>
      </c>
      <c r="X52" s="1203"/>
      <c r="Y52" s="880">
        <v>40</v>
      </c>
      <c r="Z52" s="1187"/>
      <c r="AA52" s="1190"/>
      <c r="AB52" s="1274"/>
      <c r="AC52" s="1666" t="s">
        <v>78</v>
      </c>
      <c r="AD52" s="1667"/>
      <c r="AE52" s="881"/>
      <c r="AF52" s="892"/>
      <c r="AH52" s="1725"/>
      <c r="AI52" s="172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7" t="s">
        <v>3363</v>
      </c>
      <c r="L53" s="1688"/>
      <c r="M53" s="1689"/>
      <c r="N53" s="1190" cm="1">
        <f t="array" ref="N53">IF($E$20="Credera US",V53,SUMPRODUCT(('Rates &amp; Drop Downs INT'!$CG$6:$CG$747=$D53)*('Rates &amp; Drop Downs INT'!$CI$6:$CI$747=$F53)*('Rates &amp; Drop Downs INT'!$CK$6:$CK$747=$K53)*('Rates &amp; Drop Downs INT'!$CM$6:$CM$747)))</f>
        <v>2</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f>IFERROR(IF(ISBLANK(K53)," ",_xlfn.XLOOKUP(K53,'Rates &amp; Drop Downs INT'!C:C,'Rates &amp; Drop Downs INT'!J:J)),N53)</f>
        <v>2</v>
      </c>
      <c r="W53" s="1203" t="str">
        <f t="shared" si="0"/>
        <v>Offshore</v>
      </c>
      <c r="X53" s="1203"/>
      <c r="Y53" s="880">
        <v>32</v>
      </c>
      <c r="Z53" s="1187"/>
      <c r="AA53" s="1190"/>
      <c r="AB53" s="1274"/>
      <c r="AC53" s="1666"/>
      <c r="AD53" s="1667"/>
      <c r="AE53" s="881"/>
      <c r="AF53" s="892"/>
      <c r="AH53" s="1725"/>
      <c r="AI53" s="1725"/>
      <c r="CM53" s="425"/>
    </row>
    <row r="54" spans="3:91" ht="16.05" customHeight="1" x14ac:dyDescent="0.25">
      <c r="C54" s="1186"/>
      <c r="D54" s="1187"/>
      <c r="E54" s="1187" t="str">
        <f>IFERROR(_xlfn.XLOOKUP(D54,TADIndia,'Rates &amp; Drop Downs INT'!$CH$6:$CH$747),"")</f>
        <v/>
      </c>
      <c r="F54" s="1187"/>
      <c r="G54" s="1187" t="str">
        <f>IFERROR(_xlfn.XLOOKUP(F54,'Rates &amp; Drop Downs INT'!$CI$6:$CI$747,'Rates &amp; Drop Downs INT'!$CJ$6:$CJ$747),"")</f>
        <v/>
      </c>
      <c r="H54" s="1187" t="str">
        <f>_xlfn.XLOOKUP(F54,'Rates &amp; Drop Downs INT'!$DF$6:$DF$173,'Rates &amp; Drop Downs INT'!$DG$6:$DG$173,"")</f>
        <v/>
      </c>
      <c r="I54" s="1187"/>
      <c r="J54" s="1188"/>
      <c r="K54" s="1687"/>
      <c r="L54" s="1688"/>
      <c r="M54" s="1689"/>
      <c r="N54" s="1190" cm="1">
        <f t="array" ref="N54">IF($E$20="Credera US",V54,SUMPRODUCT(('Rates &amp; Drop Downs INT'!$CG$6:$CG$747=$D54)*('Rates &amp; Drop Downs INT'!$CI$6:$CI$747=$F54)*('Rates &amp; Drop Downs INT'!$CK$6:$CK$747=$K54)*('Rates &amp; Drop Downs INT'!$CM$6:$CM$747)))</f>
        <v>0</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t="str">
        <f>IFERROR(IF(ISBLANK(K54)," ",_xlfn.XLOOKUP(K54,'Rates &amp; Drop Downs INT'!C:C,'Rates &amp; Drop Downs INT'!J:J)),N54)</f>
        <v xml:space="preserve"> </v>
      </c>
      <c r="W54" s="1203" t="str">
        <f t="shared" si="0"/>
        <v xml:space="preserve"> </v>
      </c>
      <c r="X54" s="1203"/>
      <c r="Y54" s="880">
        <v>10</v>
      </c>
      <c r="Z54" s="1187"/>
      <c r="AA54" s="1190"/>
      <c r="AB54" s="1274"/>
      <c r="AC54" s="1666"/>
      <c r="AD54" s="1667"/>
      <c r="AE54" s="881"/>
      <c r="AF54" s="892"/>
      <c r="AH54" s="1725"/>
      <c r="AI54" s="1725"/>
      <c r="CM54" s="425"/>
    </row>
    <row r="55" spans="3:91" ht="16.05" customHeight="1" x14ac:dyDescent="0.25">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7"/>
      <c r="L55" s="1688"/>
      <c r="M55" s="1689"/>
      <c r="N55" s="1190" cm="1">
        <f t="array" ref="N55">IF($E$20="Credera US",V55,SUMPRODUCT(('Rates &amp; Drop Downs INT'!$CG$6:$CG$747=$D55)*('Rates &amp; Drop Downs INT'!$CI$6:$CI$747=$F55)*('Rates &amp; Drop Downs INT'!$CK$6:$CK$747=$K55)*('Rates &amp; Drop Downs INT'!$CM$6:$CM$747)))</f>
        <v>0</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t="str">
        <f>IFERROR(IF(ISBLANK(K55)," ",_xlfn.XLOOKUP(K55,'Rates &amp; Drop Downs INT'!C:C,'Rates &amp; Drop Downs INT'!J:J)),N55)</f>
        <v xml:space="preserve"> </v>
      </c>
      <c r="W55" s="1203" t="str">
        <f t="shared" si="0"/>
        <v xml:space="preserve"> </v>
      </c>
      <c r="X55" s="1203"/>
      <c r="Y55" s="880" t="s">
        <v>2271</v>
      </c>
      <c r="Z55" s="1187"/>
      <c r="AA55" s="1190"/>
      <c r="AB55" s="1274"/>
      <c r="AC55" s="1666"/>
      <c r="AD55" s="1667"/>
      <c r="AE55" s="881"/>
      <c r="AF55" s="892"/>
      <c r="AH55" s="1725"/>
      <c r="AI55" s="172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90"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7"/>
      <c r="U93" s="1698"/>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6"/>
      <c r="AD93" s="1667"/>
      <c r="AE93" s="881"/>
      <c r="AF93" s="892"/>
      <c r="AH93" s="1725"/>
      <c r="AI93" s="172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90"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7"/>
      <c r="U94" s="1698"/>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6"/>
      <c r="AD94" s="1667"/>
      <c r="AE94" s="881"/>
      <c r="AF94" s="892"/>
      <c r="AH94" s="1725"/>
      <c r="AI94" s="172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90"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7"/>
      <c r="U95" s="1698"/>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6"/>
      <c r="AD95" s="1667"/>
      <c r="AE95" s="881"/>
      <c r="AF95" s="892"/>
      <c r="AH95" s="1725"/>
      <c r="AI95" s="172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90"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7"/>
      <c r="U96" s="1698"/>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6"/>
      <c r="AD96" s="1667"/>
      <c r="AE96" s="881"/>
      <c r="AF96" s="892"/>
      <c r="AH96" s="1725"/>
      <c r="AI96" s="172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90"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7"/>
      <c r="U97" s="1698"/>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6"/>
      <c r="AD97" s="1667"/>
      <c r="AE97" s="881"/>
      <c r="AF97" s="892"/>
      <c r="AH97" s="1725"/>
      <c r="AI97" s="172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90"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7"/>
      <c r="U98" s="1698"/>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6"/>
      <c r="AD98" s="1667"/>
      <c r="AE98" s="881"/>
      <c r="AF98" s="892"/>
      <c r="AH98" s="1725"/>
      <c r="AI98" s="172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6"/>
      <c r="AD99" s="1667"/>
      <c r="AE99" s="881"/>
      <c r="AF99" s="892"/>
      <c r="AH99" s="1725"/>
      <c r="AI99" s="172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6"/>
      <c r="AD125" s="1667"/>
      <c r="AE125" s="881"/>
      <c r="AF125" s="892"/>
      <c r="AH125" s="1725"/>
      <c r="AI125" s="172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6"/>
      <c r="AD126" s="1667"/>
      <c r="AE126" s="881"/>
      <c r="AF126" s="892"/>
      <c r="AH126" s="1725"/>
      <c r="AI126" s="172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6"/>
      <c r="AD127" s="1667"/>
      <c r="AE127" s="881"/>
      <c r="AF127" s="892"/>
      <c r="AH127" s="1725"/>
      <c r="AI127" s="172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6"/>
      <c r="AD128" s="1667"/>
      <c r="AE128" s="881"/>
      <c r="AF128" s="892"/>
      <c r="AH128" s="1725"/>
      <c r="AI128" s="172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6"/>
      <c r="AD129" s="1667"/>
      <c r="AE129" s="881"/>
      <c r="AF129" s="892"/>
      <c r="AH129" s="1725"/>
      <c r="AI129" s="172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6"/>
      <c r="AD130" s="1667"/>
      <c r="AE130" s="881"/>
      <c r="AF130" s="892"/>
      <c r="AH130" s="1725"/>
      <c r="AI130" s="172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6"/>
      <c r="AD131" s="1667"/>
      <c r="AE131" s="881"/>
      <c r="AF131" s="892"/>
      <c r="AH131" s="1725"/>
      <c r="AI131" s="172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7"/>
      <c r="L141" s="1688"/>
      <c r="M141" s="1689"/>
      <c r="N141" s="1189" cm="1">
        <f t="array" ref="N141">IF($E$20="Credera US",V141,SUMPRODUCT(('Rates &amp; Drop Downs INT'!$CG$6:$CG$747=$D141)*('Rates &amp; Drop Downs INT'!$CI$6:$CI$747=$F141)*('Rates &amp; Drop Downs INT'!$CK$6:$CK$747=$K141)*('Rates &amp; Drop Downs INT'!$CM$6:$CM$747)))</f>
        <v>0</v>
      </c>
      <c r="O141" s="1694"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5"/>
      <c r="Q141" s="1695"/>
      <c r="R141" s="1695"/>
      <c r="S141" s="1696"/>
      <c r="T141" s="1692"/>
      <c r="U141" s="169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6"/>
      <c r="AD141" s="1667"/>
      <c r="AE141" s="881"/>
      <c r="AF141" s="892"/>
      <c r="AH141" s="1725"/>
      <c r="AI141" s="172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7"/>
      <c r="L142" s="1688"/>
      <c r="M142" s="1689"/>
      <c r="N142" s="1189" cm="1">
        <f t="array" ref="N142">IF($E$20="Credera US",V142,SUMPRODUCT(('Rates &amp; Drop Downs INT'!$CG$6:$CG$747=$D142)*('Rates &amp; Drop Downs INT'!$CI$6:$CI$747=$F142)*('Rates &amp; Drop Downs INT'!$CK$6:$CK$747=$K142)*('Rates &amp; Drop Downs INT'!$CM$6:$CM$747)))</f>
        <v>0</v>
      </c>
      <c r="O142" s="1694"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5"/>
      <c r="Q142" s="1695"/>
      <c r="R142" s="1695"/>
      <c r="S142" s="1696"/>
      <c r="T142" s="1692"/>
      <c r="U142" s="169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6"/>
      <c r="AD142" s="1667"/>
      <c r="AE142" s="881"/>
      <c r="AF142" s="892"/>
      <c r="AH142" s="1725"/>
      <c r="AI142" s="172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7"/>
      <c r="L143" s="1688"/>
      <c r="M143" s="1689"/>
      <c r="N143" s="1189" cm="1">
        <f t="array" ref="N143">IF($E$20="Credera US",V143,SUMPRODUCT(('Rates &amp; Drop Downs INT'!$CG$6:$CG$747=$D143)*('Rates &amp; Drop Downs INT'!$CI$6:$CI$747=$F143)*('Rates &amp; Drop Downs INT'!$CK$6:$CK$747=$K143)*('Rates &amp; Drop Downs INT'!$CM$6:$CM$747)))</f>
        <v>0</v>
      </c>
      <c r="O143" s="1694"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5"/>
      <c r="Q143" s="1695"/>
      <c r="R143" s="1695"/>
      <c r="S143" s="1696"/>
      <c r="T143" s="1692"/>
      <c r="U143" s="169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6"/>
      <c r="AD143" s="1667"/>
      <c r="AE143" s="881"/>
      <c r="AF143" s="892"/>
      <c r="AH143" s="1725"/>
      <c r="AI143" s="172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7"/>
      <c r="L144" s="1688"/>
      <c r="M144" s="1689"/>
      <c r="N144" s="1189" cm="1">
        <f t="array" ref="N144">IF($E$20="Credera US",V144,SUMPRODUCT(('Rates &amp; Drop Downs INT'!$CG$6:$CG$747=$D144)*('Rates &amp; Drop Downs INT'!$CI$6:$CI$747=$F144)*('Rates &amp; Drop Downs INT'!$CK$6:$CK$747=$K144)*('Rates &amp; Drop Downs INT'!$CM$6:$CM$747)))</f>
        <v>0</v>
      </c>
      <c r="O144" s="1694"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5"/>
      <c r="Q144" s="1695"/>
      <c r="R144" s="1695"/>
      <c r="S144" s="1696"/>
      <c r="T144" s="1692"/>
      <c r="U144" s="169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6"/>
      <c r="AD144" s="1667"/>
      <c r="AE144" s="881"/>
      <c r="AF144" s="892"/>
      <c r="AH144" s="1725"/>
      <c r="AI144" s="172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7"/>
      <c r="L145" s="1688"/>
      <c r="M145" s="1689"/>
      <c r="N145" s="1189" cm="1">
        <f t="array" ref="N145">IF($E$20="Credera US",V145,SUMPRODUCT(('Rates &amp; Drop Downs INT'!$CG$6:$CG$747=$D145)*('Rates &amp; Drop Downs INT'!$CI$6:$CI$747=$F145)*('Rates &amp; Drop Downs INT'!$CK$6:$CK$747=$K145)*('Rates &amp; Drop Downs INT'!$CM$6:$CM$747)))</f>
        <v>0</v>
      </c>
      <c r="O145" s="1694"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5"/>
      <c r="Q145" s="1695"/>
      <c r="R145" s="1695"/>
      <c r="S145" s="1696"/>
      <c r="T145" s="1692"/>
      <c r="U145" s="169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6"/>
      <c r="AD145" s="1667"/>
      <c r="AE145" s="881"/>
      <c r="AF145" s="892"/>
      <c r="AH145" s="1725"/>
      <c r="AI145" s="172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7"/>
      <c r="L146" s="1688"/>
      <c r="M146" s="1689"/>
      <c r="N146" s="1189" cm="1">
        <f t="array" ref="N146">IF($E$20="Credera US",V146,SUMPRODUCT(('Rates &amp; Drop Downs INT'!$CG$6:$CG$747=$D146)*('Rates &amp; Drop Downs INT'!$CI$6:$CI$747=$F146)*('Rates &amp; Drop Downs INT'!$CK$6:$CK$747=$K146)*('Rates &amp; Drop Downs INT'!$CM$6:$CM$747)))</f>
        <v>0</v>
      </c>
      <c r="O146" s="1694"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5"/>
      <c r="Q146" s="1695"/>
      <c r="R146" s="1695"/>
      <c r="S146" s="1696"/>
      <c r="T146" s="1692"/>
      <c r="U146" s="169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6"/>
      <c r="AD146" s="1667"/>
      <c r="AE146" s="881"/>
      <c r="AF146" s="892"/>
      <c r="AH146" s="1725"/>
      <c r="AI146" s="172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7"/>
      <c r="L147" s="1688"/>
      <c r="M147" s="1689"/>
      <c r="N147" s="1194" cm="1">
        <f t="array" ref="N147">IF($E$20="Credera US",V147,SUMPRODUCT(('Rates &amp; Drop Downs INT'!$CG$6:$CG$747=$D147)*('Rates &amp; Drop Downs INT'!$CI$6:$CI$747=$F147)*('Rates &amp; Drop Downs INT'!$CK$6:$CK$747=$K147)*('Rates &amp; Drop Downs INT'!$CM$6:$CM$747)))</f>
        <v>0</v>
      </c>
      <c r="O147" s="1732"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3"/>
      <c r="Q147" s="1733"/>
      <c r="R147" s="1733"/>
      <c r="S147" s="1734"/>
      <c r="T147" s="1693"/>
      <c r="U147" s="169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8"/>
      <c r="AD147" s="1669"/>
      <c r="AE147" s="894"/>
      <c r="AF147" s="895"/>
      <c r="AH147" s="1725"/>
      <c r="AI147" s="172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730" t="s">
        <v>3234</v>
      </c>
      <c r="D151" s="1730"/>
      <c r="E151" s="1730"/>
      <c r="F151" s="1730"/>
      <c r="G151" s="1730"/>
      <c r="H151" s="1731"/>
      <c r="I151" s="1730"/>
      <c r="J151" s="1730"/>
      <c r="K151" s="1730"/>
      <c r="L151" s="1730"/>
      <c r="M151" s="1730"/>
      <c r="N151" s="1730"/>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665" t="s">
        <v>3582</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690" t="s">
        <v>2318</v>
      </c>
      <c r="D154" s="1690"/>
      <c r="E154" s="1690"/>
      <c r="F154" s="1690"/>
      <c r="G154" s="1690"/>
      <c r="H154" s="1690"/>
      <c r="I154" s="1690"/>
      <c r="J154" s="1690"/>
      <c r="K154" s="1690"/>
      <c r="L154" s="1690"/>
      <c r="M154" s="1690"/>
      <c r="N154" s="1690"/>
      <c r="Y154" s="838"/>
      <c r="Z154" s="838"/>
      <c r="AA154" s="839"/>
      <c r="AB154" s="839"/>
      <c r="AC154" s="839"/>
      <c r="AD154" s="839"/>
      <c r="AE154" s="839"/>
      <c r="AI154" s="837"/>
      <c r="AJ154" s="822"/>
      <c r="AK154" s="822"/>
      <c r="AL154" s="822"/>
      <c r="AM154" s="822"/>
      <c r="CM154" s="840"/>
    </row>
    <row r="155" spans="1:97" ht="22.05" customHeight="1" x14ac:dyDescent="0.25">
      <c r="C155" s="1690" t="s">
        <v>2319</v>
      </c>
      <c r="D155" s="1690"/>
      <c r="E155" s="1690"/>
      <c r="F155" s="1690"/>
      <c r="G155" s="1690"/>
      <c r="H155" s="1690"/>
      <c r="I155" s="1690"/>
      <c r="J155" s="1690"/>
      <c r="K155" s="1690"/>
      <c r="L155" s="1690"/>
      <c r="M155" s="1690"/>
      <c r="N155" s="169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45891</v>
      </c>
      <c r="G158" s="1390"/>
      <c r="H158" s="1390"/>
      <c r="I158" s="1390">
        <f>IFERROR(F158+7-WEEKDAY(F158,3),"")</f>
        <v>45894</v>
      </c>
      <c r="J158" s="1390"/>
      <c r="K158" s="1390">
        <f>IFERROR(I158+7," ")</f>
        <v>45901</v>
      </c>
      <c r="L158" s="1390">
        <f>IFERROR(K158+7," ")</f>
        <v>45908</v>
      </c>
      <c r="M158" s="1390">
        <f>IFERROR(L158+7," ")</f>
        <v>45915</v>
      </c>
      <c r="N158" s="1390">
        <f>IFERROR(M158+7," ")</f>
        <v>45922</v>
      </c>
      <c r="O158" s="1390">
        <f>IFERROR(N158+7," ")</f>
        <v>45929</v>
      </c>
      <c r="P158" s="1390">
        <f t="shared" ref="P158" si="9">IFERROR(O158+7," ")</f>
        <v>45936</v>
      </c>
      <c r="Q158" s="1390">
        <f t="shared" ref="Q158" si="10">IFERROR(P158+7," ")</f>
        <v>45943</v>
      </c>
      <c r="R158" s="1390">
        <f t="shared" ref="R158" si="11">IFERROR(Q158+7," ")</f>
        <v>45950</v>
      </c>
      <c r="S158" s="1390">
        <f t="shared" ref="S158" si="12">IFERROR(R158+7," ")</f>
        <v>45957</v>
      </c>
      <c r="T158" s="1390">
        <f t="shared" ref="T158" si="13">IFERROR(S158+7," ")</f>
        <v>45964</v>
      </c>
      <c r="U158" s="1390">
        <f t="shared" ref="U158" si="14">IFERROR(T158+7," ")</f>
        <v>45971</v>
      </c>
      <c r="V158" s="1390"/>
      <c r="W158" s="1390"/>
      <c r="X158" s="1390"/>
      <c r="Y158" s="1390">
        <f>IFERROR(U158+7," ")</f>
        <v>45978</v>
      </c>
      <c r="Z158" s="1390">
        <f t="shared" ref="Z158" si="15">IFERROR(Y158+7," ")</f>
        <v>45985</v>
      </c>
      <c r="AA158" s="1390">
        <f t="shared" ref="AA158" si="16">IFERROR(Z158+7," ")</f>
        <v>45992</v>
      </c>
      <c r="AB158" s="1390">
        <f t="shared" ref="AB158" si="17">IFERROR(AA158+7," ")</f>
        <v>45999</v>
      </c>
      <c r="AC158" s="1390"/>
      <c r="AD158" s="1524"/>
      <c r="AE158" s="1524"/>
      <c r="AF158" s="1524"/>
      <c r="AG158" s="1390">
        <f>IFERROR(AB158+7," ")</f>
        <v>46006</v>
      </c>
      <c r="AH158" s="1390">
        <f>IFERROR(AG158+7," ")</f>
        <v>46013</v>
      </c>
      <c r="AI158" s="1390">
        <f t="shared" ref="AI158:BJ158" si="18">IFERROR(AH158+7," ")</f>
        <v>46020</v>
      </c>
      <c r="AJ158" s="1390">
        <f>IFERROR(AI158+7," ")</f>
        <v>46027</v>
      </c>
      <c r="AK158" s="1390">
        <f t="shared" si="18"/>
        <v>46034</v>
      </c>
      <c r="AL158" s="1390">
        <f t="shared" si="18"/>
        <v>46041</v>
      </c>
      <c r="AM158" s="1390">
        <f t="shared" si="18"/>
        <v>46048</v>
      </c>
      <c r="AN158" s="1390">
        <f t="shared" si="18"/>
        <v>46055</v>
      </c>
      <c r="AO158" s="1390">
        <f t="shared" si="18"/>
        <v>46062</v>
      </c>
      <c r="AP158" s="1390">
        <f t="shared" si="18"/>
        <v>46069</v>
      </c>
      <c r="AQ158" s="1390">
        <f t="shared" si="18"/>
        <v>46076</v>
      </c>
      <c r="AR158" s="1390">
        <f t="shared" si="18"/>
        <v>46083</v>
      </c>
      <c r="AS158" s="1390">
        <f t="shared" si="18"/>
        <v>46090</v>
      </c>
      <c r="AT158" s="1390">
        <f t="shared" si="18"/>
        <v>46097</v>
      </c>
      <c r="AU158" s="1390">
        <f t="shared" si="18"/>
        <v>46104</v>
      </c>
      <c r="AV158" s="1390">
        <f t="shared" si="18"/>
        <v>46111</v>
      </c>
      <c r="AW158" s="1390">
        <f t="shared" si="18"/>
        <v>46118</v>
      </c>
      <c r="AX158" s="1390">
        <f t="shared" si="18"/>
        <v>46125</v>
      </c>
      <c r="AY158" s="1390">
        <f t="shared" si="18"/>
        <v>46132</v>
      </c>
      <c r="AZ158" s="1390">
        <f t="shared" si="18"/>
        <v>46139</v>
      </c>
      <c r="BA158" s="1390">
        <f t="shared" si="18"/>
        <v>46146</v>
      </c>
      <c r="BB158" s="1390">
        <f t="shared" si="18"/>
        <v>46153</v>
      </c>
      <c r="BC158" s="1390">
        <f t="shared" si="18"/>
        <v>46160</v>
      </c>
      <c r="BD158" s="1390">
        <f t="shared" si="18"/>
        <v>46167</v>
      </c>
      <c r="BE158" s="1390">
        <f t="shared" si="18"/>
        <v>46174</v>
      </c>
      <c r="BF158" s="1390">
        <f t="shared" si="18"/>
        <v>46181</v>
      </c>
      <c r="BG158" s="1390">
        <f t="shared" si="18"/>
        <v>46188</v>
      </c>
      <c r="BH158" s="1390">
        <f t="shared" si="18"/>
        <v>46195</v>
      </c>
      <c r="BI158" s="1390">
        <f t="shared" si="18"/>
        <v>46202</v>
      </c>
      <c r="BJ158" s="1390">
        <f t="shared" si="18"/>
        <v>46209</v>
      </c>
      <c r="BK158" s="1390">
        <f t="shared" ref="BK158" si="19">IFERROR(BJ158+7," ")</f>
        <v>46216</v>
      </c>
      <c r="BL158" s="1390">
        <f t="shared" ref="BL158" si="20">IFERROR(BK158+7," ")</f>
        <v>46223</v>
      </c>
      <c r="BM158" s="1390">
        <f t="shared" ref="BM158" si="21">IFERROR(BL158+7," ")</f>
        <v>46230</v>
      </c>
      <c r="BN158" s="1390">
        <f>IFERROR(BM158+7," ")</f>
        <v>46237</v>
      </c>
      <c r="BO158" s="1390">
        <f>IFERROR(BN158+7," ")</f>
        <v>46244</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741" t="s">
        <v>3679</v>
      </c>
      <c r="D160" s="174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735" t="s">
        <v>176</v>
      </c>
      <c r="D161" s="173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735" t="s">
        <v>257</v>
      </c>
      <c r="D162" s="173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735" t="s">
        <v>269</v>
      </c>
      <c r="D163" s="173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735" t="s">
        <v>283</v>
      </c>
      <c r="D164" s="173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735" t="s">
        <v>294</v>
      </c>
      <c r="D165" s="173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45887</v>
      </c>
      <c r="G166" s="883"/>
      <c r="H166" s="883"/>
      <c r="I166" s="883">
        <f>IF(WEEKDAY(I158,1)=2,I158,I158-WEEKDAY(I158,1)+2)</f>
        <v>45894</v>
      </c>
      <c r="J166" s="883"/>
      <c r="K166" s="883">
        <f t="shared" ref="K166:AB166" si="72">IF(WEEKDAY(K158,1)=2,K158,K158-WEEKDAY(K158,1)+2)</f>
        <v>45901</v>
      </c>
      <c r="L166" s="883">
        <f t="shared" si="72"/>
        <v>45908</v>
      </c>
      <c r="M166" s="883">
        <f t="shared" si="72"/>
        <v>45915</v>
      </c>
      <c r="N166" s="883">
        <f t="shared" si="72"/>
        <v>45922</v>
      </c>
      <c r="O166" s="883">
        <f t="shared" si="72"/>
        <v>45929</v>
      </c>
      <c r="P166" s="883">
        <f t="shared" si="72"/>
        <v>45936</v>
      </c>
      <c r="Q166" s="883">
        <f t="shared" si="72"/>
        <v>45943</v>
      </c>
      <c r="R166" s="897">
        <f t="shared" si="72"/>
        <v>45950</v>
      </c>
      <c r="S166" s="901">
        <f t="shared" si="72"/>
        <v>45957</v>
      </c>
      <c r="T166" s="901">
        <f t="shared" si="72"/>
        <v>45964</v>
      </c>
      <c r="U166" s="901">
        <f t="shared" si="72"/>
        <v>45971</v>
      </c>
      <c r="V166" s="901"/>
      <c r="W166" s="901"/>
      <c r="X166" s="901"/>
      <c r="Y166" s="901">
        <f t="shared" si="72"/>
        <v>45978</v>
      </c>
      <c r="Z166" s="901">
        <f t="shared" si="72"/>
        <v>45985</v>
      </c>
      <c r="AA166" s="901">
        <f t="shared" si="72"/>
        <v>45992</v>
      </c>
      <c r="AB166" s="901">
        <f t="shared" si="72"/>
        <v>45999</v>
      </c>
      <c r="AC166" s="901"/>
      <c r="AH166" s="901">
        <f t="shared" ref="AH166:BN166" si="73">IF(WEEKDAY(AH158,1)=2,AH158,AH158-WEEKDAY(AH158,1)+2)</f>
        <v>46013</v>
      </c>
      <c r="AI166" s="901">
        <f t="shared" si="73"/>
        <v>46020</v>
      </c>
      <c r="AJ166" s="901">
        <f t="shared" si="73"/>
        <v>46027</v>
      </c>
      <c r="AK166" s="901">
        <f t="shared" si="73"/>
        <v>46034</v>
      </c>
      <c r="AL166" s="901">
        <f t="shared" si="73"/>
        <v>46041</v>
      </c>
      <c r="AM166" s="901">
        <f t="shared" si="73"/>
        <v>46048</v>
      </c>
      <c r="AN166" s="901">
        <f t="shared" si="73"/>
        <v>46055</v>
      </c>
      <c r="AO166" s="901">
        <f t="shared" si="73"/>
        <v>46062</v>
      </c>
      <c r="AP166" s="901">
        <f t="shared" si="73"/>
        <v>46069</v>
      </c>
      <c r="AQ166" s="901">
        <f t="shared" si="73"/>
        <v>46076</v>
      </c>
      <c r="AR166" s="901">
        <f t="shared" si="73"/>
        <v>46083</v>
      </c>
      <c r="AS166" s="901">
        <f t="shared" si="73"/>
        <v>46090</v>
      </c>
      <c r="AT166" s="901">
        <f t="shared" si="73"/>
        <v>46097</v>
      </c>
      <c r="AU166" s="901">
        <f t="shared" si="73"/>
        <v>46104</v>
      </c>
      <c r="AV166" s="901">
        <f t="shared" si="73"/>
        <v>46111</v>
      </c>
      <c r="AW166" s="901">
        <f t="shared" si="73"/>
        <v>46118</v>
      </c>
      <c r="AX166" s="901">
        <f t="shared" si="73"/>
        <v>46125</v>
      </c>
      <c r="AY166" s="901">
        <f t="shared" si="73"/>
        <v>46132</v>
      </c>
      <c r="AZ166" s="901">
        <f t="shared" si="73"/>
        <v>46139</v>
      </c>
      <c r="BA166" s="901">
        <f t="shared" si="73"/>
        <v>46146</v>
      </c>
      <c r="BB166" s="901">
        <f t="shared" si="73"/>
        <v>46153</v>
      </c>
      <c r="BC166" s="901">
        <f t="shared" si="73"/>
        <v>46160</v>
      </c>
      <c r="BD166" s="901">
        <f t="shared" si="73"/>
        <v>46167</v>
      </c>
      <c r="BE166" s="901">
        <f t="shared" si="73"/>
        <v>46174</v>
      </c>
      <c r="BF166" s="901">
        <f t="shared" si="73"/>
        <v>46181</v>
      </c>
      <c r="BG166" s="901">
        <f t="shared" si="73"/>
        <v>46188</v>
      </c>
      <c r="BH166" s="901">
        <f t="shared" si="73"/>
        <v>46195</v>
      </c>
      <c r="BI166" s="901">
        <f t="shared" si="73"/>
        <v>46202</v>
      </c>
      <c r="BJ166" s="901">
        <f t="shared" si="73"/>
        <v>46209</v>
      </c>
      <c r="BK166" s="901">
        <f t="shared" si="73"/>
        <v>46216</v>
      </c>
      <c r="BL166" s="901">
        <f t="shared" si="73"/>
        <v>46223</v>
      </c>
      <c r="BM166" s="1337">
        <f t="shared" si="73"/>
        <v>46230</v>
      </c>
      <c r="BN166" s="1338">
        <f t="shared" si="73"/>
        <v>46237</v>
      </c>
      <c r="BO166" s="1338">
        <f t="shared" ref="BO166" si="74">IF(WEEKDAY(BO158,1)=2,BO158,BO158-WEEKDAY(BO158,1)+2)</f>
        <v>46244</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202</v>
      </c>
      <c r="G169" s="1321"/>
      <c r="H169" s="1321"/>
      <c r="I169" s="1321">
        <f>SUM(I170:I269)</f>
        <v>202</v>
      </c>
      <c r="J169" s="1321"/>
      <c r="K169" s="1321">
        <f>SUM(K170:K269)</f>
        <v>202</v>
      </c>
      <c r="L169" s="1321">
        <f t="shared" ref="L169:AB169" si="75">SUM(L170:L269)</f>
        <v>202</v>
      </c>
      <c r="M169" s="1321">
        <f t="shared" si="75"/>
        <v>242</v>
      </c>
      <c r="N169" s="1321">
        <f t="shared" si="75"/>
        <v>242</v>
      </c>
      <c r="O169" s="1321">
        <f t="shared" si="75"/>
        <v>242</v>
      </c>
      <c r="P169" s="1321">
        <f t="shared" si="75"/>
        <v>242</v>
      </c>
      <c r="Q169" s="1321">
        <f t="shared" si="75"/>
        <v>242</v>
      </c>
      <c r="R169" s="1321">
        <f t="shared" si="75"/>
        <v>242</v>
      </c>
      <c r="S169" s="1321">
        <f t="shared" si="75"/>
        <v>242</v>
      </c>
      <c r="T169" s="1321">
        <f t="shared" si="75"/>
        <v>242</v>
      </c>
      <c r="U169" s="1321">
        <f t="shared" si="75"/>
        <v>242</v>
      </c>
      <c r="V169" s="1321"/>
      <c r="W169" s="1321"/>
      <c r="X169" s="1321"/>
      <c r="Y169" s="1321">
        <f t="shared" si="75"/>
        <v>202</v>
      </c>
      <c r="Z169" s="1321">
        <f t="shared" si="75"/>
        <v>202</v>
      </c>
      <c r="AA169" s="1321">
        <f t="shared" si="75"/>
        <v>202</v>
      </c>
      <c r="AB169" s="899">
        <f t="shared" si="75"/>
        <v>202</v>
      </c>
      <c r="AC169" s="899"/>
      <c r="AD169" s="1335"/>
      <c r="AE169" s="1335"/>
      <c r="AF169" s="1335"/>
      <c r="AG169" s="1335">
        <f>SUM(AG170:AG269)</f>
        <v>242</v>
      </c>
      <c r="AH169" s="899">
        <f t="shared" ref="AH169:AI169" si="76">SUM(AH170:AH269)</f>
        <v>242</v>
      </c>
      <c r="AI169" s="899">
        <f t="shared" si="76"/>
        <v>242</v>
      </c>
      <c r="AJ169" s="899">
        <f t="shared" ref="AJ169:BC169" si="77">SUM(AJ170:AJ269)</f>
        <v>242</v>
      </c>
      <c r="AK169" s="899">
        <f t="shared" si="77"/>
        <v>242</v>
      </c>
      <c r="AL169" s="899">
        <f t="shared" si="77"/>
        <v>242</v>
      </c>
      <c r="AM169" s="899">
        <f t="shared" si="77"/>
        <v>242</v>
      </c>
      <c r="AN169" s="899">
        <f t="shared" si="77"/>
        <v>242</v>
      </c>
      <c r="AO169" s="899">
        <f t="shared" si="77"/>
        <v>242</v>
      </c>
      <c r="AP169" s="899">
        <f t="shared" si="77"/>
        <v>242</v>
      </c>
      <c r="AQ169" s="899">
        <f t="shared" si="77"/>
        <v>242</v>
      </c>
      <c r="AR169" s="899">
        <f t="shared" si="77"/>
        <v>242</v>
      </c>
      <c r="AS169" s="899">
        <f t="shared" si="77"/>
        <v>242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
      </c>
      <c r="D176" s="1318" t="str">
        <f t="shared" si="81"/>
        <v/>
      </c>
      <c r="E176" s="1326"/>
      <c r="F176" s="1327">
        <f>IF($E$30="Enter Duration (wks)","",IF($Y54="Enter Hrs/Wk","",IF($E$30&gt;='FORMULA REFS'!A$1,$Y54,"")))</f>
        <v>10</v>
      </c>
      <c r="G176" s="1328"/>
      <c r="H176" s="1570"/>
      <c r="I176" s="1329">
        <f>IF($E$30="Enter Duration (wks)","",IF($Y54="Enter Hrs/Wk","",IF($E$30&gt;='FORMULA REFS'!B$1,$Y54,"")))</f>
        <v>10</v>
      </c>
      <c r="J176" s="1323"/>
      <c r="K176" s="1286">
        <f>IF($E$30="Enter Duration (wks)","",IF($Y54="Enter Hrs/Wk","",IF($E$30&gt;='FORMULA REFS'!C$1,$Y54,"")))</f>
        <v>10</v>
      </c>
      <c r="L176" s="882">
        <f>IF($E$30="Enter Duration (wks)","",IF($Y54="Enter Hrs/Wk","",IF($E$30&gt;='FORMULA REFS'!D$1,$Y54,"")))</f>
        <v>10</v>
      </c>
      <c r="M176" s="882">
        <f>IF($E$30="Enter Duration (wks)","",IF($Y54="Enter Hrs/Wk","",IF($E$30&gt;='FORMULA REFS'!E$1,$Y54,"")))</f>
        <v>10</v>
      </c>
      <c r="N176" s="882">
        <f>IF($E$30="Enter Duration (wks)","",IF($Y54="Enter Hrs/Wk","",IF($E$30&gt;='FORMULA REFS'!F$1,$Y54,"")))</f>
        <v>10</v>
      </c>
      <c r="O176" s="882">
        <f>IF($E$30="Enter Duration (wks)","",IF($Y54="Enter Hrs/Wk","",IF($E$30&gt;='FORMULA REFS'!G$1,$Y54,"")))</f>
        <v>10</v>
      </c>
      <c r="P176" s="882">
        <f>IF($E$30="Enter Duration (wks)","",IF($Y54="Enter Hrs/Wk","",IF($E$30&gt;='FORMULA REFS'!H$1,$Y54,"")))</f>
        <v>10</v>
      </c>
      <c r="Q176" s="882">
        <f>IF($E$30="Enter Duration (wks)","",IF($Y54="Enter Hrs/Wk","",IF($E$30&gt;='FORMULA REFS'!I$1,$Y54,"")))</f>
        <v>10</v>
      </c>
      <c r="R176" s="882">
        <f>IF($E$30="Enter Duration (wks)","",IF($Y54="Enter Hrs/Wk","",IF($E$30&gt;='FORMULA REFS'!J$1,$Y54,"")))</f>
        <v>10</v>
      </c>
      <c r="S176" s="882">
        <f>IF($E$30="Enter Duration (wks)","",IF($Y54="Enter Hrs/Wk","",IF($E$30&gt;='FORMULA REFS'!K$1,$Y54,"")))</f>
        <v>10</v>
      </c>
      <c r="T176" s="1323">
        <f>IF($E$30="Enter Duration (wks)","",IF($Y54="Enter Hrs/Wk","",IF($E$30&gt;='FORMULA REFS'!L$1,$Y54,"")))</f>
        <v>10</v>
      </c>
      <c r="U176" s="882">
        <f>IF($E$30="Enter Duration (wks)","",IF($Y54="Enter Hrs/Wk","",IF($E$30&gt;='FORMULA REFS'!M$1,$Y54,"")))</f>
        <v>10</v>
      </c>
      <c r="V176" s="882"/>
      <c r="W176" s="882"/>
      <c r="X176" s="1285"/>
      <c r="Y176" s="1285">
        <f>IF($E$30="Enter Duration (wks)","",IF($Y54="Enter Hrs/Wk","",IF($E$30&gt;='FORMULA REFS'!N$1,$Y54,"")))</f>
        <v>10</v>
      </c>
      <c r="Z176" s="1343">
        <f>IF($E$30="Enter Duration (wks)","",IF($Y54="Enter Hrs/Wk","",IF($E$30&gt;='FORMULA REFS'!O$1,$Y54,"")))</f>
        <v>10</v>
      </c>
      <c r="AA176" s="882">
        <f>IF($E$30="Enter Duration (wks)","",IF($Y54="Enter Hrs/Wk","",IF($E$30&gt;='FORMULA REFS'!P$1,$Y54,"")))</f>
        <v>10</v>
      </c>
      <c r="AB176" s="882">
        <f>IF($E$30="Enter Duration (wks)","",IF($Y54="Enter Hrs/Wk","",IF($E$30&gt;='FORMULA REFS'!Q$1,$Y54,"")))</f>
        <v>10</v>
      </c>
      <c r="AC176" s="882"/>
      <c r="AD176" s="882"/>
      <c r="AE176" s="882"/>
      <c r="AF176" s="882"/>
      <c r="AG176" s="1286">
        <f>IF($E$30="Enter Duration (wks)","",IF($Y54="Enter Hrs/Wk","",IF($E$30&gt;='FORMULA REFS'!R$1,$Y54,"")))</f>
        <v>10</v>
      </c>
      <c r="AH176" s="1286">
        <f>IF($E$30="Enter Duration (wks)","",IF($Y54="Enter Hrs/Wk","",IF($E$30&gt;='FORMULA REFS'!S$1,$Y54,"")))</f>
        <v>10</v>
      </c>
      <c r="AI176" s="1286">
        <f>IF($E$30="Enter Duration (wks)","",IF($Y54="Enter Hrs/Wk","",IF($E$30&gt;='FORMULA REFS'!T$1,$Y54,"")))</f>
        <v>10</v>
      </c>
      <c r="AJ176" s="1286">
        <f>IF($E$30="Enter Duration (wks)","",IF($Y54="Enter Hrs/Wk","",IF($E$30&gt;='FORMULA REFS'!U$1,$Y54,"")))</f>
        <v>10</v>
      </c>
      <c r="AK176" s="1286">
        <f>IF($E$30="Enter Duration (wks)","",IF($Y54="Enter Hrs/Wk","",IF($E$30&gt;='FORMULA REFS'!V$1,$Y54,"")))</f>
        <v>10</v>
      </c>
      <c r="AL176" s="1286">
        <f>IF($E$30="Enter Duration (wks)","",IF($Y54="Enter Hrs/Wk","",IF($E$30&gt;='FORMULA REFS'!W$1,$Y54,"")))</f>
        <v>10</v>
      </c>
      <c r="AM176" s="1286">
        <f>IF($E$30="Enter Duration (wks)","",IF($Y54="Enter Hrs/Wk","",IF($E$30&gt;='FORMULA REFS'!X$1,$Y54,"")))</f>
        <v>10</v>
      </c>
      <c r="AN176" s="1286">
        <f>IF($E$30="Enter Duration (wks)","",IF($Y54="Enter Hrs/Wk","",IF($E$30&gt;='FORMULA REFS'!Y$1,$Y54,"")))</f>
        <v>10</v>
      </c>
      <c r="AO176" s="1286">
        <f>IF($E$30="Enter Duration (wks)","",IF($Y54="Enter Hrs/Wk","",IF($E$30&gt;='FORMULA REFS'!Z$1,$Y54,"")))</f>
        <v>10</v>
      </c>
      <c r="AP176" s="1286">
        <f>IF($E$30="Enter Duration (wks)","",IF($Y54="Enter Hrs/Wk","",IF($E$30&gt;='FORMULA REFS'!AA$1,$Y54,"")))</f>
        <v>10</v>
      </c>
      <c r="AQ176" s="1286">
        <f>IF($E$30="Enter Duration (wks)","",IF($Y54="Enter Hrs/Wk","",IF($E$30&gt;='FORMULA REFS'!AB$1,$Y54,"")))</f>
        <v>10</v>
      </c>
      <c r="AR176" s="1286">
        <f>IF($E$30="Enter Duration (wks)","",IF($Y54="Enter Hrs/Wk","",IF($E$30&gt;='FORMULA REFS'!AC$1,$Y54,"")))</f>
        <v>10</v>
      </c>
      <c r="AS176" s="1286">
        <f>IF($E$30="Enter Duration (wks)","",IF($Y54="Enter Hrs/Wk","",IF($E$30&gt;='FORMULA REFS'!AD$1,$Y54,"")))</f>
        <v>10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
      </c>
      <c r="D177" s="1318" t="str">
        <f t="shared" si="81"/>
        <v/>
      </c>
      <c r="E177" s="1326"/>
      <c r="F177" s="1327" t="str">
        <f>IF($E$30="Enter Duration (wks)","",IF($Y55="Enter Hrs/Wk","",IF($E$30&gt;='FORMULA REFS'!A$1,$Y55,"")))</f>
        <v/>
      </c>
      <c r="G177" s="1328"/>
      <c r="H177" s="1570"/>
      <c r="I177" s="1329" t="str">
        <f>IF($E$30="Enter Duration (wks)","",IF($Y55="Enter Hrs/Wk","",IF($E$30&gt;='FORMULA REFS'!B$1,$Y55,"")))</f>
        <v/>
      </c>
      <c r="J177" s="1323"/>
      <c r="K177" s="1286" t="str">
        <f>IF($E$30="Enter Duration (wks)","",IF($Y55="Enter Hrs/Wk","",IF($E$30&gt;='FORMULA REFS'!C$1,$Y55,"")))</f>
        <v/>
      </c>
      <c r="L177" s="882" t="str">
        <f>IF($E$30="Enter Duration (wks)","",IF($Y55="Enter Hrs/Wk","",IF($E$30&gt;='FORMULA REFS'!D$1,$Y55,"")))</f>
        <v/>
      </c>
      <c r="M177" s="882" t="str">
        <f>IF($E$30="Enter Duration (wks)","",IF($Y55="Enter Hrs/Wk","",IF($E$30&gt;='FORMULA REFS'!E$1,$Y55,"")))</f>
        <v/>
      </c>
      <c r="N177" s="882" t="str">
        <f>IF($E$30="Enter Duration (wks)","",IF($Y55="Enter Hrs/Wk","",IF($E$30&gt;='FORMULA REFS'!F$1,$Y55,"")))</f>
        <v/>
      </c>
      <c r="O177" s="882" t="str">
        <f>IF($E$30="Enter Duration (wks)","",IF($Y55="Enter Hrs/Wk","",IF($E$30&gt;='FORMULA REFS'!G$1,$Y55,"")))</f>
        <v/>
      </c>
      <c r="P177" s="882" t="str">
        <f>IF($E$30="Enter Duration (wks)","",IF($Y55="Enter Hrs/Wk","",IF($E$30&gt;='FORMULA REFS'!H$1,$Y55,"")))</f>
        <v/>
      </c>
      <c r="Q177" s="882" t="str">
        <f>IF($E$30="Enter Duration (wks)","",IF($Y55="Enter Hrs/Wk","",IF($E$30&gt;='FORMULA REFS'!I$1,$Y55,"")))</f>
        <v/>
      </c>
      <c r="R177" s="882" t="str">
        <f>IF($E$30="Enter Duration (wks)","",IF($Y55="Enter Hrs/Wk","",IF($E$30&gt;='FORMULA REFS'!J$1,$Y55,"")))</f>
        <v/>
      </c>
      <c r="S177" s="882" t="str">
        <f>IF($E$30="Enter Duration (wks)","",IF($Y55="Enter Hrs/Wk","",IF($E$30&gt;='FORMULA REFS'!K$1,$Y55,"")))</f>
        <v/>
      </c>
      <c r="T177" s="1323" t="str">
        <f>IF($E$30="Enter Duration (wks)","",IF($Y55="Enter Hrs/Wk","",IF($E$30&gt;='FORMULA REFS'!L$1,$Y55,"")))</f>
        <v/>
      </c>
      <c r="U177" s="882" t="str">
        <f>IF($E$30="Enter Duration (wks)","",IF($Y55="Enter Hrs/Wk","",IF($E$30&gt;='FORMULA REFS'!M$1,$Y55,"")))</f>
        <v/>
      </c>
      <c r="V177" s="882"/>
      <c r="W177" s="882"/>
      <c r="X177" s="1285"/>
      <c r="Y177" s="1285" t="str">
        <f>IF($E$30="Enter Duration (wks)","",IF($Y55="Enter Hrs/Wk","",IF($E$30&gt;='FORMULA REFS'!N$1,$Y55,"")))</f>
        <v/>
      </c>
      <c r="Z177" s="1343" t="str">
        <f>IF($E$30="Enter Duration (wks)","",IF($Y55="Enter Hrs/Wk","",IF($E$30&gt;='FORMULA REFS'!O$1,$Y55,"")))</f>
        <v/>
      </c>
      <c r="AA177" s="882" t="str">
        <f>IF($E$30="Enter Duration (wks)","",IF($Y55="Enter Hrs/Wk","",IF($E$30&gt;='FORMULA REFS'!P$1,$Y55,"")))</f>
        <v/>
      </c>
      <c r="AB177" s="882" t="str">
        <f>IF($E$30="Enter Duration (wks)","",IF($Y55="Enter Hrs/Wk","",IF($E$30&gt;='FORMULA REFS'!Q$1,$Y55,"")))</f>
        <v/>
      </c>
      <c r="AC177" s="882"/>
      <c r="AD177" s="882"/>
      <c r="AE177" s="882"/>
      <c r="AF177" s="882"/>
      <c r="AG177" s="1286" t="str">
        <f>IF($E$30="Enter Duration (wks)","",IF($Y55="Enter Hrs/Wk","",IF($E$30&gt;='FORMULA REFS'!R$1,$Y55,"")))</f>
        <v/>
      </c>
      <c r="AH177" s="1286" t="str">
        <f>IF($E$30="Enter Duration (wks)","",IF($Y55="Enter Hrs/Wk","",IF($E$30&gt;='FORMULA REFS'!S$1,$Y55,"")))</f>
        <v/>
      </c>
      <c r="AI177" s="1286" t="str">
        <f>IF($E$30="Enter Duration (wks)","",IF($Y55="Enter Hrs/Wk","",IF($E$30&gt;='FORMULA REFS'!T$1,$Y55,"")))</f>
        <v/>
      </c>
      <c r="AJ177" s="1286" t="str">
        <f>IF($E$30="Enter Duration (wks)","",IF($Y55="Enter Hrs/Wk","",IF($E$30&gt;='FORMULA REFS'!U$1,$Y55,"")))</f>
        <v/>
      </c>
      <c r="AK177" s="1286" t="str">
        <f>IF($E$30="Enter Duration (wks)","",IF($Y55="Enter Hrs/Wk","",IF($E$30&gt;='FORMULA REFS'!V$1,$Y55,"")))</f>
        <v/>
      </c>
      <c r="AL177" s="1286" t="str">
        <f>IF($E$30="Enter Duration (wks)","",IF($Y55="Enter Hrs/Wk","",IF($E$30&gt;='FORMULA REFS'!W$1,$Y55,"")))</f>
        <v/>
      </c>
      <c r="AM177" s="1286" t="str">
        <f>IF($E$30="Enter Duration (wks)","",IF($Y55="Enter Hrs/Wk","",IF($E$30&gt;='FORMULA REFS'!X$1,$Y55,"")))</f>
        <v/>
      </c>
      <c r="AN177" s="1286" t="str">
        <f>IF($E$30="Enter Duration (wks)","",IF($Y55="Enter Hrs/Wk","",IF($E$30&gt;='FORMULA REFS'!Y$1,$Y55,"")))</f>
        <v/>
      </c>
      <c r="AO177" s="1286" t="str">
        <f>IF($E$30="Enter Duration (wks)","",IF($Y55="Enter Hrs/Wk","",IF($E$30&gt;='FORMULA REFS'!Z$1,$Y55,"")))</f>
        <v/>
      </c>
      <c r="AP177" s="1286" t="str">
        <f>IF($E$30="Enter Duration (wks)","",IF($Y55="Enter Hrs/Wk","",IF($E$30&gt;='FORMULA REFS'!AA$1,$Y55,"")))</f>
        <v/>
      </c>
      <c r="AQ177" s="1286" t="str">
        <f>IF($E$30="Enter Duration (wks)","",IF($Y55="Enter Hrs/Wk","",IF($E$30&gt;='FORMULA REFS'!AB$1,$Y55,"")))</f>
        <v/>
      </c>
      <c r="AR177" s="1286" t="str">
        <f>IF($E$30="Enter Duration (wks)","",IF($Y55="Enter Hrs/Wk","",IF($E$30&gt;='FORMULA REFS'!AC$1,$Y55,"")))</f>
        <v/>
      </c>
      <c r="AS177" s="1286" t="str">
        <f>IF($E$30="Enter Duration (wks)","",IF($Y55="Enter Hrs/Wk","",IF($E$30&gt;='FORMULA REFS'!AD$1,$Y55,"")))</f>
        <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6"/>
      <c r="BY186" s="1726"/>
      <c r="BZ186" s="1726"/>
      <c r="CA186" s="1726"/>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6"/>
      <c r="BY187" s="1726"/>
      <c r="BZ187" s="1726"/>
      <c r="CA187" s="1726"/>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685" t="s">
        <v>3172</v>
      </c>
      <c r="D272" s="1686"/>
      <c r="E272" s="711" t="str">
        <f>IF(E169=0," ",(SUM($D$169:E169))/$M$289)</f>
        <v xml:space="preserve"> </v>
      </c>
      <c r="F272" s="1569">
        <f>IF(F169=0," ",(SUM($D$169:F169))/$M$289)</f>
        <v>2.9106628242074929E-2</v>
      </c>
      <c r="G272" s="1569" t="str">
        <f>IF(G169=0," ",(SUM($D$169:G169))/$M$289)</f>
        <v xml:space="preserve"> </v>
      </c>
      <c r="H272" s="1569"/>
      <c r="I272" s="1569">
        <f>IF(I169=0," ",(SUM($D$169:I169))/$M$289)</f>
        <v>5.8213256484149857E-2</v>
      </c>
      <c r="J272" s="1569" t="str">
        <f>IF(J169=0," ",(SUM($D$169:J169))/$M$289)</f>
        <v xml:space="preserve"> </v>
      </c>
      <c r="K272" s="1569">
        <f>IF(K169=0," ",(SUM($D$169:K169))/$M$289)</f>
        <v>8.7319884726224789E-2</v>
      </c>
      <c r="L272" s="1569">
        <f>IF(L169=0," ",(SUM($D$169:L169))/$M$289)</f>
        <v>0.11642651296829971</v>
      </c>
      <c r="M272" s="1569">
        <f>IF(M169=0," ",(SUM($D$169:M169))/$M$289)</f>
        <v>0.15129682997118155</v>
      </c>
      <c r="N272" s="1569">
        <f>IF(N169=0," ",(SUM($D$169:N169))/$M$289)</f>
        <v>0.18616714697406339</v>
      </c>
      <c r="O272" s="1569">
        <f>IF(O169=0," ",(SUM($D$169:O169))/$M$289)</f>
        <v>0.22103746397694524</v>
      </c>
      <c r="P272" s="1569">
        <f>IF(P169=0," ",(SUM($D$169:P169))/$M$289)</f>
        <v>0.25590778097982708</v>
      </c>
      <c r="Q272" s="1569">
        <f>IF(Q169=0," ",(SUM($D$169:Q169))/$M$289)</f>
        <v>0.29077809798270893</v>
      </c>
      <c r="R272" s="1569">
        <f>IF(R169=0," ",(SUM($D$169:R169))/$M$289)</f>
        <v>0.32564841498559077</v>
      </c>
      <c r="S272" s="1569">
        <f>IF(S169=0," ",(SUM($D$169:S169))/$M$289)</f>
        <v>0.36051873198847262</v>
      </c>
      <c r="T272" s="1569">
        <f>IF(T169=0," ",(SUM($D$169:T169))/$M$289)</f>
        <v>0.39538904899135446</v>
      </c>
      <c r="U272" s="1569">
        <f>IF(U169=0," ",(SUM($D$169:U169))/$M$289)</f>
        <v>0.43025936599423631</v>
      </c>
      <c r="V272" s="1569" t="str">
        <f>IF(V169=0," ",(SUM($D$169:V169))/$M$289)</f>
        <v xml:space="preserve"> </v>
      </c>
      <c r="W272" s="1569" t="str">
        <f>IF(W169=0," ",(SUM($D$169:W169))/$M$289)</f>
        <v xml:space="preserve"> </v>
      </c>
      <c r="X272" s="1569"/>
      <c r="Y272" s="1569">
        <f>IF(Y169=0," ",(SUM($D$169:Y169))/$M$289)</f>
        <v>0.45936599423631125</v>
      </c>
      <c r="Z272" s="1569">
        <f>IF(Z169=0," ",(SUM($D$169:Z169))/$M$289)</f>
        <v>0.48847262247838619</v>
      </c>
      <c r="AA272" s="711">
        <f>IF(AA169=0," ",(SUM($D$169:AA169))/$M$289)</f>
        <v>0.51757925072046107</v>
      </c>
      <c r="AB272" s="711">
        <f>IF(AB169=0," ",(SUM($D$169:AB169))/$M$289)</f>
        <v>0.54668587896253606</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0.58155619596541785</v>
      </c>
      <c r="AH272" s="711">
        <f>IF(AH169=0," ",(SUM($D$169:AH169))/$M$289)</f>
        <v>0.61642651296829976</v>
      </c>
      <c r="AI272" s="711">
        <f>IF(AI169=0," ",(SUM($D$169:AI169))/$M$289)</f>
        <v>0.65129682997118155</v>
      </c>
      <c r="AJ272" s="711">
        <f>IF(AJ169=0," ",(SUM($D$169:AJ169))/$M$289)</f>
        <v>0.68616714697406345</v>
      </c>
      <c r="AK272" s="711">
        <f>IF(AK169=0," ",(SUM($D$169:AK169))/$M$289)</f>
        <v>0.72103746397694524</v>
      </c>
      <c r="AL272" s="711">
        <f>IF(AL169=0," ",(SUM($D$169:AL169))/$M$289)</f>
        <v>0.75590778097982714</v>
      </c>
      <c r="AM272" s="711">
        <f>IF(AM169=0," ",(SUM($D$169:AM169))/$M$289)</f>
        <v>0.79077809798270893</v>
      </c>
      <c r="AN272" s="711">
        <f>IF(AN169=0," ",(SUM($D$169:AN169))/$M$289)</f>
        <v>0.82564841498559083</v>
      </c>
      <c r="AO272" s="711">
        <f>IF(AO169=0," ",(SUM($D$169:AO169))/$M$289)</f>
        <v>0.86051873198847262</v>
      </c>
      <c r="AP272" s="711">
        <f>IF(AP169=0," ",(SUM($D$169:AP169))/$M$289)</f>
        <v>0.89538904899135452</v>
      </c>
      <c r="AQ272" s="711">
        <f>IF(AQ169=0," ",(SUM($D$169:AQ169))/$M$289)</f>
        <v>0.93025936599423631</v>
      </c>
      <c r="AR272" s="711">
        <f>IF(AR169=0," ",(SUM($D$169:AR169))/$M$289)</f>
        <v>0.96512968299711821</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730" t="s">
        <v>3247</v>
      </c>
      <c r="D283" s="1730"/>
      <c r="E283" s="1730"/>
      <c r="F283" s="1730"/>
      <c r="G283" s="1730"/>
      <c r="H283" s="1731"/>
      <c r="I283" s="1730"/>
      <c r="J283" s="1730"/>
      <c r="K283" s="1730"/>
      <c r="L283" s="1730"/>
      <c r="M283" s="1730"/>
      <c r="N283" s="1730"/>
      <c r="O283" s="1469"/>
      <c r="P283" s="1469"/>
    </row>
    <row r="284" spans="1:66" x14ac:dyDescent="0.25">
      <c r="C284" s="1691" t="s">
        <v>2323</v>
      </c>
      <c r="D284" s="1691"/>
      <c r="E284" s="1691"/>
      <c r="F284" s="1691"/>
      <c r="G284" s="1691"/>
      <c r="H284" s="1691"/>
      <c r="I284" s="1691"/>
      <c r="J284" s="1691"/>
      <c r="K284" s="1691"/>
      <c r="L284" s="1691"/>
      <c r="M284" s="1691"/>
      <c r="N284" s="1691"/>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690" t="s">
        <v>3248</v>
      </c>
      <c r="D286" s="1690"/>
      <c r="E286" s="1690"/>
      <c r="F286" s="1690"/>
      <c r="G286" s="1690"/>
      <c r="H286" s="1690"/>
      <c r="I286" s="1690"/>
      <c r="J286" s="1690"/>
      <c r="K286" s="1690"/>
      <c r="L286" s="1690"/>
      <c r="M286" s="1690"/>
      <c r="N286" s="1690"/>
      <c r="O286" s="1690"/>
      <c r="P286" s="1690"/>
    </row>
    <row r="287" spans="1:66" ht="18" customHeight="1" x14ac:dyDescent="0.25">
      <c r="C287" s="1665" t="s">
        <v>3249</v>
      </c>
      <c r="D287" s="1665"/>
      <c r="E287" s="1665"/>
      <c r="F287" s="1665"/>
      <c r="G287" s="1665"/>
      <c r="H287" s="1665"/>
      <c r="I287" s="1665"/>
      <c r="J287" s="1665"/>
      <c r="K287" s="1665"/>
      <c r="L287" s="1665"/>
      <c r="M287" s="1665"/>
      <c r="N287" s="1665"/>
      <c r="O287" s="1665"/>
      <c r="P287" s="1665"/>
    </row>
    <row r="288" spans="1:66" ht="25.05" customHeight="1" x14ac:dyDescent="0.25">
      <c r="B288" s="555"/>
      <c r="C288" s="907" t="s">
        <v>189</v>
      </c>
      <c r="D288" s="1582">
        <f>IFERROR('3. Financial Inputs'!B52,"")</f>
        <v>0.55101827676240211</v>
      </c>
      <c r="E288" s="520"/>
      <c r="F288" s="521"/>
      <c r="G288" s="1211"/>
      <c r="H288" s="1211"/>
      <c r="J288" s="1211"/>
    </row>
    <row r="289" spans="2:16" ht="25.95" customHeight="1" x14ac:dyDescent="0.25">
      <c r="B289" s="555"/>
      <c r="C289" s="907" t="s">
        <v>2197</v>
      </c>
      <c r="D289" s="908">
        <f>SUM(D291:D390)</f>
        <v>766000</v>
      </c>
      <c r="E289" s="908"/>
      <c r="F289" s="908">
        <f>SUM(F291:F390)</f>
        <v>343920</v>
      </c>
      <c r="G289" s="398"/>
      <c r="H289" s="398"/>
      <c r="K289" s="714"/>
      <c r="M289" s="1349">
        <f>SUM(M291:M346)</f>
        <v>6940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
      </c>
      <c r="D297" s="918">
        <f t="shared" si="89"/>
        <v>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0</v>
      </c>
      <c r="K297" s="885" cm="1">
        <f t="array" ref="K297">IF($E$20&lt;&gt;"Credera US",0,IF(L297&lt;&gt;"","",IFERROR(IF($D$26&lt;&gt;"Client Custom Rates",0,INDEX('Client Rate Cards'!E:E,MATCH(1,('Client Rate Cards'!B:B='2. Roles &amp; Pricing'!$D$27)*('Client Rate Cards'!D:D='2. Roles &amp; Pricing'!T54),0))),0)))</f>
        <v>0</v>
      </c>
      <c r="L297" s="1350"/>
      <c r="M297" s="887">
        <f t="shared" si="87"/>
        <v>300</v>
      </c>
      <c r="N297" s="913">
        <f t="shared" si="88"/>
        <v>30</v>
      </c>
    </row>
    <row r="298" spans="2:16" ht="13.95" customHeight="1" x14ac:dyDescent="0.25">
      <c r="C298" s="1352" t="str">
        <f t="shared" si="86"/>
        <v/>
      </c>
      <c r="D298" s="918" t="str">
        <f t="shared" si="89"/>
        <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t="str">
        <f t="shared" si="87"/>
        <v/>
      </c>
      <c r="N298" s="913" t="str">
        <f t="shared" si="88"/>
        <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64" t="s">
        <v>3577</v>
      </c>
      <c r="D395" s="1664"/>
      <c r="E395" s="1664"/>
      <c r="F395" s="1664"/>
      <c r="G395" s="1664"/>
      <c r="H395" s="1664"/>
      <c r="I395" s="1664"/>
      <c r="J395" s="1664"/>
      <c r="K395" s="1664"/>
      <c r="L395" s="1664"/>
      <c r="M395" s="1664"/>
      <c r="N395" s="1664"/>
      <c r="O395" s="627"/>
    </row>
    <row r="396" spans="2:37" x14ac:dyDescent="0.25">
      <c r="C396" s="1664" t="s">
        <v>3224</v>
      </c>
      <c r="D396" s="1664"/>
      <c r="E396" s="1664"/>
      <c r="F396" s="1664"/>
      <c r="G396" s="1664"/>
      <c r="H396" s="1664"/>
      <c r="I396" s="1664"/>
      <c r="J396" s="1664"/>
      <c r="K396" s="1664"/>
      <c r="L396" s="1664"/>
      <c r="M396" s="1664"/>
      <c r="N396" s="1664"/>
      <c r="O396" s="1264"/>
    </row>
    <row r="397" spans="2:37" x14ac:dyDescent="0.25">
      <c r="C397" s="1664" t="s">
        <v>3398</v>
      </c>
      <c r="D397" s="1664"/>
      <c r="E397" s="1664"/>
      <c r="F397" s="1664"/>
      <c r="G397" s="1664"/>
      <c r="H397" s="1664"/>
      <c r="I397" s="1664"/>
      <c r="J397" s="1664"/>
      <c r="K397" s="1664"/>
      <c r="L397" s="1664"/>
      <c r="M397" s="1664"/>
      <c r="N397" s="1664"/>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682" t="s">
        <v>101</v>
      </c>
      <c r="E399" s="1683"/>
      <c r="F399" s="1684"/>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K59:M59"/>
    <mergeCell ref="T53:U53"/>
    <mergeCell ref="T54:U54"/>
    <mergeCell ref="T55:U55"/>
    <mergeCell ref="T56:U56"/>
    <mergeCell ref="T57:U57"/>
    <mergeCell ref="K53:M53"/>
    <mergeCell ref="K54:M54"/>
    <mergeCell ref="K55:M55"/>
    <mergeCell ref="K56:M56"/>
    <mergeCell ref="K57:M57"/>
    <mergeCell ref="K58:M58"/>
    <mergeCell ref="O52:S52"/>
    <mergeCell ref="O51:S51"/>
    <mergeCell ref="T79:U79"/>
    <mergeCell ref="T80:U80"/>
    <mergeCell ref="T81:U81"/>
    <mergeCell ref="T82:U82"/>
    <mergeCell ref="T83:U83"/>
    <mergeCell ref="T84:U84"/>
    <mergeCell ref="T85:U85"/>
    <mergeCell ref="T58:U58"/>
    <mergeCell ref="T59:U59"/>
    <mergeCell ref="T86:U86"/>
    <mergeCell ref="T75:U75"/>
    <mergeCell ref="T76:U76"/>
    <mergeCell ref="T77:U77"/>
    <mergeCell ref="T78:U78"/>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5:AB147 B48:B54 F170:G170 J48 AA48 Z49:AA49 Z50:AB50 Z51:AB51 B101:C147 B100 F172:G269 AC171:BO171 O171:W171 T99:U147 K170:W170 I172:W269 Z54:AB54"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abSelected="1" zoomScale="80" zoomScaleNormal="80" workbookViewId="0">
      <selection activeCell="H9" sqref="H9"/>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Honda Web Enhancment</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45891</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SOW</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Select CR Type</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45891</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3691</v>
      </c>
      <c r="H9" s="140"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99" t="s">
        <v>2173</v>
      </c>
      <c r="H10" s="1800"/>
      <c r="I10" s="1800"/>
      <c r="J10" s="1800"/>
      <c r="K10" s="1801"/>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802"/>
      <c r="H11" s="1803"/>
      <c r="I11" s="1803"/>
      <c r="J11" s="1803"/>
      <c r="K11" s="1804"/>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805"/>
      <c r="H12" s="1806"/>
      <c r="I12" s="1806"/>
      <c r="J12" s="1806"/>
      <c r="K12" s="1807"/>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08" t="s">
        <v>1966</v>
      </c>
    </row>
    <row r="13" spans="1:94" s="161" customFormat="1" ht="28.2" thickBot="1" x14ac:dyDescent="0.35">
      <c r="A13" s="157"/>
      <c r="B13" s="158"/>
      <c r="C13" s="158"/>
      <c r="D13" s="158"/>
      <c r="E13" s="158"/>
      <c r="F13" s="158"/>
      <c r="G13" s="1810" t="s">
        <v>1967</v>
      </c>
      <c r="H13" s="1811"/>
      <c r="I13" s="1811"/>
      <c r="J13" s="1811"/>
      <c r="K13" s="1812"/>
      <c r="L13" s="1816" t="s">
        <v>1</v>
      </c>
      <c r="M13" s="1817"/>
      <c r="N13" s="166" t="s">
        <v>1968</v>
      </c>
      <c r="O13" s="1820" t="s">
        <v>1969</v>
      </c>
      <c r="P13" s="1820"/>
      <c r="Q13" s="1784"/>
      <c r="R13" s="1783" t="s">
        <v>1970</v>
      </c>
      <c r="S13" s="1784"/>
      <c r="T13" s="1783" t="s">
        <v>1971</v>
      </c>
      <c r="U13" s="1784"/>
      <c r="V13" s="1783" t="s">
        <v>1972</v>
      </c>
      <c r="W13" s="1820"/>
      <c r="X13" s="1820"/>
      <c r="Y13" s="1820"/>
      <c r="Z13" s="1820"/>
      <c r="AA13" s="1820"/>
      <c r="AB13" s="1820"/>
      <c r="AC13" s="1820"/>
      <c r="AD13" s="1820"/>
      <c r="AE13" s="1820"/>
      <c r="AF13" s="1820"/>
      <c r="AG13" s="1820"/>
      <c r="AH13" s="1820"/>
      <c r="AI13" s="1820"/>
      <c r="AJ13" s="1820"/>
      <c r="AK13" s="1820"/>
      <c r="AL13" s="1820"/>
      <c r="AM13" s="1820"/>
      <c r="AN13" s="1820"/>
      <c r="AO13" s="1820"/>
      <c r="AP13" s="1820"/>
      <c r="AQ13" s="1820"/>
      <c r="AR13" s="1820"/>
      <c r="AS13" s="1784"/>
      <c r="AT13" s="1783" t="s">
        <v>1973</v>
      </c>
      <c r="AU13" s="1784"/>
      <c r="AV13" s="1783" t="s">
        <v>1974</v>
      </c>
      <c r="AW13" s="1784"/>
      <c r="AX13" s="1783" t="s">
        <v>1975</v>
      </c>
      <c r="AY13" s="1784"/>
      <c r="AZ13" s="1783" t="s">
        <v>1976</v>
      </c>
      <c r="BA13" s="1784"/>
      <c r="BB13" s="1783" t="s">
        <v>1977</v>
      </c>
      <c r="BC13" s="1784"/>
      <c r="BD13" s="1783" t="s">
        <v>1973</v>
      </c>
      <c r="BE13" s="1784"/>
      <c r="BF13" s="1783" t="s">
        <v>1974</v>
      </c>
      <c r="BG13" s="1784"/>
      <c r="BH13" s="1783" t="s">
        <v>1975</v>
      </c>
      <c r="BI13" s="1784"/>
      <c r="BJ13" s="1783" t="s">
        <v>1976</v>
      </c>
      <c r="BK13" s="1784"/>
      <c r="BL13" s="1783" t="s">
        <v>1977</v>
      </c>
      <c r="BM13" s="1784"/>
      <c r="BN13" s="161" t="s">
        <v>2201</v>
      </c>
      <c r="BO13" s="161" t="s">
        <v>2200</v>
      </c>
      <c r="BR13" s="1809"/>
      <c r="BS13" s="1785" t="s">
        <v>2175</v>
      </c>
      <c r="BT13" s="1786"/>
      <c r="BU13" s="167"/>
    </row>
    <row r="14" spans="1:94" s="161" customFormat="1" ht="28.2" thickBot="1" x14ac:dyDescent="0.35">
      <c r="A14" s="157"/>
      <c r="B14" s="158"/>
      <c r="C14" s="158"/>
      <c r="D14" s="158"/>
      <c r="E14" s="158"/>
      <c r="F14" s="158"/>
      <c r="G14" s="1813"/>
      <c r="H14" s="1814"/>
      <c r="I14" s="1814"/>
      <c r="J14" s="1814"/>
      <c r="K14" s="1815"/>
      <c r="L14" s="1818"/>
      <c r="M14" s="1819"/>
      <c r="N14" s="168" t="s">
        <v>1978</v>
      </c>
      <c r="O14" s="1789" t="s">
        <v>1979</v>
      </c>
      <c r="P14" s="1789"/>
      <c r="Q14" s="1790"/>
      <c r="R14" s="1791" t="s">
        <v>1980</v>
      </c>
      <c r="S14" s="1792"/>
      <c r="T14" s="1791" t="s">
        <v>1980</v>
      </c>
      <c r="U14" s="1792"/>
      <c r="V14" s="1791" t="s">
        <v>1980</v>
      </c>
      <c r="W14" s="1793"/>
      <c r="X14" s="1793"/>
      <c r="Y14" s="1793"/>
      <c r="Z14" s="1793"/>
      <c r="AA14" s="1793"/>
      <c r="AB14" s="1793"/>
      <c r="AC14" s="1793"/>
      <c r="AD14" s="1793"/>
      <c r="AE14" s="1793"/>
      <c r="AF14" s="1793"/>
      <c r="AG14" s="1793"/>
      <c r="AH14" s="1793"/>
      <c r="AI14" s="1793"/>
      <c r="AJ14" s="1793"/>
      <c r="AK14" s="1793"/>
      <c r="AL14" s="1793"/>
      <c r="AM14" s="1793"/>
      <c r="AN14" s="1793"/>
      <c r="AO14" s="1793"/>
      <c r="AP14" s="1793"/>
      <c r="AQ14" s="1793"/>
      <c r="AR14" s="1793"/>
      <c r="AS14" s="1792"/>
      <c r="AT14" s="1791" t="s">
        <v>1980</v>
      </c>
      <c r="AU14" s="1792"/>
      <c r="AV14" s="1791" t="s">
        <v>1980</v>
      </c>
      <c r="AW14" s="1792"/>
      <c r="AX14" s="1791" t="s">
        <v>1980</v>
      </c>
      <c r="AY14" s="1792"/>
      <c r="AZ14" s="1794" t="s">
        <v>1981</v>
      </c>
      <c r="BA14" s="1795"/>
      <c r="BB14" s="1794" t="s">
        <v>1982</v>
      </c>
      <c r="BC14" s="1795"/>
      <c r="BD14" s="1791" t="s">
        <v>1980</v>
      </c>
      <c r="BE14" s="1792"/>
      <c r="BF14" s="1791" t="s">
        <v>1980</v>
      </c>
      <c r="BG14" s="1792"/>
      <c r="BH14" s="1791" t="s">
        <v>1980</v>
      </c>
      <c r="BI14" s="1792"/>
      <c r="BJ14" s="1794" t="s">
        <v>1981</v>
      </c>
      <c r="BK14" s="1795"/>
      <c r="BL14" s="1794" t="s">
        <v>1982</v>
      </c>
      <c r="BM14" s="1795"/>
      <c r="BN14" s="1796" t="s">
        <v>1983</v>
      </c>
      <c r="BO14" s="1797"/>
      <c r="BP14" s="1797"/>
      <c r="BQ14" s="1797"/>
      <c r="BR14" s="1798"/>
      <c r="BS14" s="1787"/>
      <c r="BT14" s="178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1" thickBot="1" x14ac:dyDescent="0.35">
      <c r="A16" s="192">
        <v>1</v>
      </c>
      <c r="B16" s="193">
        <v>3</v>
      </c>
      <c r="C16" s="193" t="str">
        <f t="shared" ref="C16:C33" si="46">G16&amp;"__"&amp;H16</f>
        <v>Acquia__Acquia</v>
      </c>
      <c r="D16" s="193" t="str">
        <f t="shared" ref="D16:D33" si="47">G16&amp;"__"&amp;H16&amp;"__"&amp;I16</f>
        <v>Acquia__Acquia__Acquia CDP</v>
      </c>
      <c r="E16" s="193">
        <v>21</v>
      </c>
      <c r="F16" s="193">
        <v>8</v>
      </c>
      <c r="G16" s="194" t="str">
        <f>'2. Roles &amp; Pricing'!D48</f>
        <v>Acquia</v>
      </c>
      <c r="H16" s="194" t="str">
        <f>'2. Roles &amp; Pricing'!E48</f>
        <v>Acquia</v>
      </c>
      <c r="I16" s="194" t="str">
        <f>'2. Roles &amp; Pricing'!F48</f>
        <v>Acquia CDP</v>
      </c>
      <c r="J16" s="196" t="str">
        <f>'2. Roles &amp; Pricing'!K48</f>
        <v>Data Analyst</v>
      </c>
      <c r="K16" s="197" t="str">
        <f>'2. Roles &amp; Pricing'!W48</f>
        <v>Onshore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192000</v>
      </c>
      <c r="BQ16" s="199">
        <f>'2. Roles &amp; Pricing'!F291</f>
        <v>102000</v>
      </c>
      <c r="BR16" s="623">
        <f>'2. Roles &amp; Pricing'!F291</f>
        <v>102000</v>
      </c>
      <c r="BS16" s="200">
        <f>'2. Roles &amp; Pricing'!I291</f>
        <v>160</v>
      </c>
      <c r="BT16" s="201">
        <f>BP16</f>
        <v>192000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1" thickBot="1" x14ac:dyDescent="0.35">
      <c r="A17" s="205">
        <v>2</v>
      </c>
      <c r="B17" s="206">
        <v>3</v>
      </c>
      <c r="C17" s="207" t="str">
        <f t="shared" si="46"/>
        <v>Acquia__Acquia</v>
      </c>
      <c r="D17" s="207" t="str">
        <f t="shared" si="47"/>
        <v>Acquia__Acquia__Acquia CDP</v>
      </c>
      <c r="E17" s="207">
        <v>21</v>
      </c>
      <c r="F17" s="207">
        <v>8</v>
      </c>
      <c r="G17" s="208" t="str">
        <f>'2. Roles &amp; Pricing'!D49</f>
        <v>Acquia</v>
      </c>
      <c r="H17" s="209" t="str">
        <f>'2. Roles &amp; Pricing'!E49</f>
        <v>Acquia</v>
      </c>
      <c r="I17" s="210" t="str">
        <f>'2. Roles &amp; Pricing'!F49</f>
        <v>Acquia CDP</v>
      </c>
      <c r="J17" s="210" t="str">
        <f>'2. Roles &amp; Pricing'!K49</f>
        <v>Data Analyst</v>
      </c>
      <c r="K17" s="197" t="str">
        <f>'2. Roles &amp; Pricing'!W49</f>
        <v>Offshore</v>
      </c>
      <c r="L17" s="209"/>
      <c r="M17" s="210"/>
      <c r="N17" s="707">
        <f>IFERROR('2. Roles &amp; Pricing'!F171/40,"")</f>
        <v>0</v>
      </c>
      <c r="O17" s="707">
        <f>IFERROR('2. Roles &amp; Pricing'!I171/40,"")</f>
        <v>0</v>
      </c>
      <c r="P17" s="707">
        <f>IFERROR('2. Roles &amp; Pricing'!K171/40,"")</f>
        <v>0</v>
      </c>
      <c r="Q17" s="707">
        <f>IFERROR('2. Roles &amp; Pricing'!L171/40,"")</f>
        <v>0</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22</v>
      </c>
      <c r="BO17" s="213">
        <f t="shared" ref="BO17:BO33" si="50">+BN17*5</f>
        <v>110</v>
      </c>
      <c r="BP17" s="199">
        <f>'2. Roles &amp; Pricing'!D292</f>
        <v>48400</v>
      </c>
      <c r="BQ17" s="199">
        <f>'2. Roles &amp; Pricing'!F292</f>
        <v>15840</v>
      </c>
      <c r="BR17" s="623">
        <f>'2. Roles &amp; Pricing'!F292</f>
        <v>15840</v>
      </c>
      <c r="BS17" s="200">
        <f>'2. Roles &amp; Pricing'!I292</f>
        <v>55</v>
      </c>
      <c r="BT17" s="201">
        <f t="shared" ref="BT17:BT33" si="51">BP17</f>
        <v>48400</v>
      </c>
      <c r="BU17" s="214">
        <f t="shared" si="48"/>
        <v>880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31.2" thickBot="1" x14ac:dyDescent="0.35">
      <c r="A18" s="205">
        <v>3</v>
      </c>
      <c r="B18" s="206">
        <v>3</v>
      </c>
      <c r="C18" s="207" t="str">
        <f t="shared" si="46"/>
        <v>Experience Design__Experience_Design</v>
      </c>
      <c r="D18" s="207" t="str">
        <f t="shared" si="47"/>
        <v>Experience Design__Experience_Design__Design</v>
      </c>
      <c r="E18" s="207">
        <v>20</v>
      </c>
      <c r="F18" s="207">
        <v>10</v>
      </c>
      <c r="G18" s="208" t="str">
        <f>'2. Roles &amp; Pricing'!D50</f>
        <v>Experience Design</v>
      </c>
      <c r="H18" s="209" t="str">
        <f>'2. Roles &amp; Pricing'!E50</f>
        <v>Experience_Design</v>
      </c>
      <c r="I18" s="210" t="str">
        <f>'2. Roles &amp; Pricing'!F50</f>
        <v>Design</v>
      </c>
      <c r="J18" s="210" t="str">
        <f>'2. Roles &amp; Pricing'!K50</f>
        <v>UX Designer</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204000</v>
      </c>
      <c r="BQ18" s="199">
        <f>'2. Roles &amp; Pricing'!F293</f>
        <v>84000</v>
      </c>
      <c r="BR18" s="623">
        <f>'2. Roles &amp; Pricing'!F293</f>
        <v>84000</v>
      </c>
      <c r="BS18" s="200">
        <f>'2. Roles &amp; Pricing'!I293</f>
        <v>170</v>
      </c>
      <c r="BT18" s="201">
        <f t="shared" si="51"/>
        <v>204000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31.2" thickBot="1" x14ac:dyDescent="0.35">
      <c r="A19" s="205">
        <v>4</v>
      </c>
      <c r="B19" s="206">
        <v>3</v>
      </c>
      <c r="C19" s="207" t="str">
        <f t="shared" si="46"/>
        <v>Experience Design__Experience_Design</v>
      </c>
      <c r="D19" s="207" t="str">
        <f t="shared" si="47"/>
        <v>Experience Design__Experience_Design__Design</v>
      </c>
      <c r="E19" s="207">
        <v>21</v>
      </c>
      <c r="F19" s="207">
        <v>8</v>
      </c>
      <c r="G19" s="208" t="str">
        <f>'2. Roles &amp; Pricing'!D51</f>
        <v>Experience Design</v>
      </c>
      <c r="H19" s="209" t="str">
        <f>'2. Roles &amp; Pricing'!E51</f>
        <v>Experience_Design</v>
      </c>
      <c r="I19" s="210" t="str">
        <f>'2. Roles &amp; Pricing'!F51</f>
        <v>Design</v>
      </c>
      <c r="J19" s="210" t="str">
        <f>'2. Roles &amp; Pricing'!K51</f>
        <v>UX Designer</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66000</v>
      </c>
      <c r="BQ19" s="199">
        <f>'2. Roles &amp; Pricing'!F294</f>
        <v>21600</v>
      </c>
      <c r="BR19" s="623">
        <f>'2. Roles &amp; Pricing'!F294</f>
        <v>21600</v>
      </c>
      <c r="BS19" s="200">
        <f>'2. Roles &amp; Pricing'!I294</f>
        <v>55</v>
      </c>
      <c r="BT19" s="201">
        <f t="shared" si="51"/>
        <v>66000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14.4" thickBot="1" x14ac:dyDescent="0.35">
      <c r="A20" s="205">
        <v>5</v>
      </c>
      <c r="B20" s="206">
        <v>3</v>
      </c>
      <c r="C20" s="207" t="str">
        <f t="shared" si="46"/>
        <v>Adobe__Adobe</v>
      </c>
      <c r="D20" s="207" t="str">
        <f t="shared" si="47"/>
        <v>Adobe__Adobe__Adobe UI</v>
      </c>
      <c r="E20" s="207">
        <v>21</v>
      </c>
      <c r="F20" s="207">
        <v>8</v>
      </c>
      <c r="G20" s="208" t="str">
        <f>'2. Roles &amp; Pricing'!D52</f>
        <v>Adobe</v>
      </c>
      <c r="H20" s="209" t="str">
        <f>'2. Roles &amp; Pricing'!E52</f>
        <v>Adobe</v>
      </c>
      <c r="I20" s="210" t="str">
        <f>'2. Roles &amp; Pricing'!F52</f>
        <v>Adobe UI</v>
      </c>
      <c r="J20" s="210" t="str">
        <f>'2. Roles &amp; Pricing'!K52</f>
        <v>Technical Lead</v>
      </c>
      <c r="K20" s="197" t="str">
        <f>'2. Roles &amp; Pricing'!W52</f>
        <v>Onshore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222000</v>
      </c>
      <c r="BQ20" s="199">
        <f>'2. Roles &amp; Pricing'!F295</f>
        <v>108000</v>
      </c>
      <c r="BR20" s="623">
        <f>'2. Roles &amp; Pricing'!F295</f>
        <v>108000</v>
      </c>
      <c r="BS20" s="200">
        <f>'2. Roles &amp; Pricing'!I295</f>
        <v>185</v>
      </c>
      <c r="BT20" s="201">
        <f t="shared" si="51"/>
        <v>222000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2" thickBot="1" x14ac:dyDescent="0.35">
      <c r="A21" s="205">
        <v>6</v>
      </c>
      <c r="B21" s="206">
        <v>3</v>
      </c>
      <c r="C21" s="207" t="str">
        <f t="shared" si="46"/>
        <v>MACH__MACH</v>
      </c>
      <c r="D21" s="207" t="str">
        <f t="shared" si="47"/>
        <v>MACH__MACH__MACH DevOps</v>
      </c>
      <c r="E21" s="207">
        <v>21</v>
      </c>
      <c r="F21" s="207">
        <v>8</v>
      </c>
      <c r="G21" s="208" t="str">
        <f>'2. Roles &amp; Pricing'!D53</f>
        <v>MACH</v>
      </c>
      <c r="H21" s="209" t="str">
        <f>'2. Roles &amp; Pricing'!E53</f>
        <v>MACH</v>
      </c>
      <c r="I21" s="210" t="str">
        <f>'2. Roles &amp; Pricing'!F53</f>
        <v>MACH DevOps</v>
      </c>
      <c r="J21" s="210" t="str">
        <f>'2. Roles &amp; Pricing'!K53</f>
        <v>Associate DevOps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33600</v>
      </c>
      <c r="BQ21" s="199">
        <f>'2. Roles &amp; Pricing'!F296</f>
        <v>12480</v>
      </c>
      <c r="BR21" s="623">
        <f>'2. Roles &amp; Pricing'!F296</f>
        <v>12480</v>
      </c>
      <c r="BS21" s="200">
        <f>'2. Roles &amp; Pricing'!I296</f>
        <v>35</v>
      </c>
      <c r="BT21" s="201">
        <f t="shared" si="51"/>
        <v>33600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14.4" thickBot="1" x14ac:dyDescent="0.35">
      <c r="A22" s="205">
        <v>7</v>
      </c>
      <c r="B22" s="206">
        <v>3</v>
      </c>
      <c r="C22" s="207" t="str">
        <f t="shared" si="46"/>
        <v>0__</v>
      </c>
      <c r="D22" s="207" t="str">
        <f t="shared" si="47"/>
        <v>0____0</v>
      </c>
      <c r="E22" s="207">
        <v>21</v>
      </c>
      <c r="F22" s="207">
        <v>8</v>
      </c>
      <c r="G22" s="208">
        <f>'2. Roles &amp; Pricing'!D54</f>
        <v>0</v>
      </c>
      <c r="H22" s="209" t="str">
        <f>'2. Roles &amp; Pricing'!E54</f>
        <v/>
      </c>
      <c r="I22" s="210">
        <f>'2. Roles &amp; Pricing'!F54</f>
        <v>0</v>
      </c>
      <c r="J22" s="210">
        <f>'2. Roles &amp; Pricing'!K54</f>
        <v>0</v>
      </c>
      <c r="K22" s="197" t="str">
        <f>'2. Roles &amp; Pricing'!W54</f>
        <v xml:space="preserve"> </v>
      </c>
      <c r="L22" s="209"/>
      <c r="M22" s="210"/>
      <c r="N22" s="707">
        <f>IFERROR('2. Roles &amp; Pricing'!F176/40,"")</f>
        <v>0.25</v>
      </c>
      <c r="O22" s="707">
        <f>IFERROR('2. Roles &amp; Pricing'!I176/40,"")</f>
        <v>0.25</v>
      </c>
      <c r="P22" s="707">
        <f>IFERROR('2. Roles &amp; Pricing'!K176/40,"")</f>
        <v>0.25</v>
      </c>
      <c r="Q22" s="707">
        <f>IFERROR('2. Roles &amp; Pricing'!L176/40,"")</f>
        <v>0.25</v>
      </c>
      <c r="R22" s="707">
        <f>IFERROR('2. Roles &amp; Pricing'!M176/40,"")</f>
        <v>0.25</v>
      </c>
      <c r="S22" s="707">
        <f>IFERROR('2. Roles &amp; Pricing'!N176/40,"")</f>
        <v>0.25</v>
      </c>
      <c r="T22" s="707">
        <f>IFERROR('2. Roles &amp; Pricing'!O176/40,"")</f>
        <v>0.25</v>
      </c>
      <c r="U22" s="709">
        <f>IFERROR('2. Roles &amp; Pricing'!P176/40,"")</f>
        <v>0.25</v>
      </c>
      <c r="V22" s="709">
        <f>IFERROR('2. Roles &amp; Pricing'!Q176/40,"")</f>
        <v>0.25</v>
      </c>
      <c r="W22" s="709">
        <f>IFERROR('2. Roles &amp; Pricing'!R176/40,"")</f>
        <v>0.25</v>
      </c>
      <c r="X22" s="708">
        <f>IFERROR('2. Roles &amp; Pricing'!S176/40,"")</f>
        <v>0.25</v>
      </c>
      <c r="Y22" s="708">
        <f>IFERROR('2. Roles &amp; Pricing'!T176/40,"")</f>
        <v>0.25</v>
      </c>
      <c r="Z22" s="708">
        <f>IFERROR('2. Roles &amp; Pricing'!U176/40,"")</f>
        <v>0.25</v>
      </c>
      <c r="AA22" s="708">
        <f>IFERROR('2. Roles &amp; Pricing'!Y176/40,"")</f>
        <v>0.25</v>
      </c>
      <c r="AB22" s="708">
        <f>IFERROR('2. Roles &amp; Pricing'!Z176/40,"")</f>
        <v>0.25</v>
      </c>
      <c r="AC22" s="708">
        <f>IFERROR('2. Roles &amp; Pricing'!AA176/40,"")</f>
        <v>0.25</v>
      </c>
      <c r="AD22" s="708">
        <f>IFERROR('2. Roles &amp; Pricing'!AB176/40,"")</f>
        <v>0.25</v>
      </c>
      <c r="AE22" s="708">
        <f>IFERROR('2. Roles &amp; Pricing'!AG176/40,"")</f>
        <v>0.25</v>
      </c>
      <c r="AF22" s="708">
        <f>IFERROR('2. Roles &amp; Pricing'!AH176/40,"")</f>
        <v>0.25</v>
      </c>
      <c r="AG22" s="708">
        <f>IFERROR('2. Roles &amp; Pricing'!AI176/40,"")</f>
        <v>0.25</v>
      </c>
      <c r="AH22" s="708">
        <f>IFERROR('2. Roles &amp; Pricing'!AJ176/40,"")</f>
        <v>0.25</v>
      </c>
      <c r="AI22" s="708">
        <f>IFERROR('2. Roles &amp; Pricing'!AK176/40,"")</f>
        <v>0.25</v>
      </c>
      <c r="AJ22" s="708">
        <f>IFERROR('2. Roles &amp; Pricing'!AL176/40,"")</f>
        <v>0.25</v>
      </c>
      <c r="AK22" s="708">
        <f>IFERROR('2. Roles &amp; Pricing'!AM176/40,"")</f>
        <v>0.25</v>
      </c>
      <c r="AL22" s="708">
        <f>IFERROR('2. Roles &amp; Pricing'!AN176/40,"")</f>
        <v>0.25</v>
      </c>
      <c r="AM22" s="708">
        <f>IFERROR('2. Roles &amp; Pricing'!AO176/40,"")</f>
        <v>0.25</v>
      </c>
      <c r="AN22" s="708">
        <f>IFERROR('2. Roles &amp; Pricing'!AP176/40,"")</f>
        <v>0.25</v>
      </c>
      <c r="AO22" s="708">
        <f>IFERROR('2. Roles &amp; Pricing'!AQ176/40,"")</f>
        <v>0.25</v>
      </c>
      <c r="AP22" s="708">
        <f>IFERROR('2. Roles &amp; Pricing'!AR176/40,"")</f>
        <v>0.25</v>
      </c>
      <c r="AQ22" s="708">
        <f>IFERROR('2. Roles &amp; Pricing'!AS176/40,"")</f>
        <v>0.25</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7.5</v>
      </c>
      <c r="BO22" s="213">
        <f t="shared" si="50"/>
        <v>37.5</v>
      </c>
      <c r="BP22" s="199">
        <f>'2. Roles &amp; Pricing'!D297</f>
        <v>0</v>
      </c>
      <c r="BQ22" s="199">
        <f>'2. Roles &amp; Pricing'!F297</f>
        <v>0</v>
      </c>
      <c r="BR22" s="623">
        <f>'2. Roles &amp; Pricing'!F297</f>
        <v>0</v>
      </c>
      <c r="BS22" s="200">
        <f>'2. Roles &amp; Pricing'!I297</f>
        <v>0</v>
      </c>
      <c r="BT22" s="201">
        <f t="shared" si="51"/>
        <v>0</v>
      </c>
      <c r="BU22" s="214">
        <f t="shared" si="48"/>
        <v>300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4" thickBot="1" x14ac:dyDescent="0.35">
      <c r="A23" s="205">
        <v>8</v>
      </c>
      <c r="B23" s="206">
        <v>3</v>
      </c>
      <c r="C23" s="207" t="str">
        <f t="shared" si="46"/>
        <v>0__</v>
      </c>
      <c r="D23" s="207" t="str">
        <f t="shared" si="47"/>
        <v>0____0</v>
      </c>
      <c r="E23" s="207">
        <v>20</v>
      </c>
      <c r="F23" s="207">
        <v>10</v>
      </c>
      <c r="G23" s="208">
        <f>'2. Roles &amp; Pricing'!D55</f>
        <v>0</v>
      </c>
      <c r="H23" s="209" t="str">
        <f>'2. Roles &amp; Pricing'!E55</f>
        <v/>
      </c>
      <c r="I23" s="210">
        <f>'2. Roles &amp; Pricing'!F55</f>
        <v>0</v>
      </c>
      <c r="J23" s="210">
        <f>'2. Roles &amp; Pricing'!K55</f>
        <v>0</v>
      </c>
      <c r="K23" s="197" t="str">
        <f>'2. Roles &amp; Pricing'!W55</f>
        <v xml:space="preserve"> </v>
      </c>
      <c r="L23" s="209"/>
      <c r="M23" s="210"/>
      <c r="N23" s="707" t="str">
        <f>IFERROR('2. Roles &amp; Pricing'!F177/40,"")</f>
        <v/>
      </c>
      <c r="O23" s="707" t="str">
        <f>IFERROR('2. Roles &amp; Pricing'!I177/40,"")</f>
        <v/>
      </c>
      <c r="P23" s="707" t="str">
        <f>IFERROR('2. Roles &amp; Pricing'!K177/40,"")</f>
        <v/>
      </c>
      <c r="Q23" s="707" t="str">
        <f>IFERROR('2. Roles &amp; Pricing'!L177/40,"")</f>
        <v/>
      </c>
      <c r="R23" s="707" t="str">
        <f>IFERROR('2. Roles &amp; Pricing'!M177/40,"")</f>
        <v/>
      </c>
      <c r="S23" s="707" t="str">
        <f>IFERROR('2. Roles &amp; Pricing'!N177/40,"")</f>
        <v/>
      </c>
      <c r="T23" s="707" t="str">
        <f>IFERROR('2. Roles &amp; Pricing'!O177/40,"")</f>
        <v/>
      </c>
      <c r="U23" s="709" t="str">
        <f>IFERROR('2. Roles &amp; Pricing'!P177/40,"")</f>
        <v/>
      </c>
      <c r="V23" s="709" t="str">
        <f>IFERROR('2. Roles &amp; Pricing'!Q177/40,"")</f>
        <v/>
      </c>
      <c r="W23" s="709" t="str">
        <f>IFERROR('2. Roles &amp; Pricing'!R177/40,"")</f>
        <v/>
      </c>
      <c r="X23" s="708" t="str">
        <f>IFERROR('2. Roles &amp; Pricing'!S177/40,"")</f>
        <v/>
      </c>
      <c r="Y23" s="708" t="str">
        <f>IFERROR('2. Roles &amp; Pricing'!T177/40,"")</f>
        <v/>
      </c>
      <c r="Z23" s="708" t="str">
        <f>IFERROR('2. Roles &amp; Pricing'!U177/40,"")</f>
        <v/>
      </c>
      <c r="AA23" s="708" t="str">
        <f>IFERROR('2. Roles &amp; Pricing'!Y177/40,"")</f>
        <v/>
      </c>
      <c r="AB23" s="708" t="str">
        <f>IFERROR('2. Roles &amp; Pricing'!Z177/40,"")</f>
        <v/>
      </c>
      <c r="AC23" s="708" t="str">
        <f>IFERROR('2. Roles &amp; Pricing'!AA177/40,"")</f>
        <v/>
      </c>
      <c r="AD23" s="708" t="str">
        <f>IFERROR('2. Roles &amp; Pricing'!AB177/40,"")</f>
        <v/>
      </c>
      <c r="AE23" s="708" t="str">
        <f>IFERROR('2. Roles &amp; Pricing'!AG177/40,"")</f>
        <v/>
      </c>
      <c r="AF23" s="708" t="str">
        <f>IFERROR('2. Roles &amp; Pricing'!AH177/40,"")</f>
        <v/>
      </c>
      <c r="AG23" s="708" t="str">
        <f>IFERROR('2. Roles &amp; Pricing'!AI177/40,"")</f>
        <v/>
      </c>
      <c r="AH23" s="708" t="str">
        <f>IFERROR('2. Roles &amp; Pricing'!AJ177/40,"")</f>
        <v/>
      </c>
      <c r="AI23" s="708" t="str">
        <f>IFERROR('2. Roles &amp; Pricing'!AK177/40,"")</f>
        <v/>
      </c>
      <c r="AJ23" s="708" t="str">
        <f>IFERROR('2. Roles &amp; Pricing'!AL177/40,"")</f>
        <v/>
      </c>
      <c r="AK23" s="708" t="str">
        <f>IFERROR('2. Roles &amp; Pricing'!AM177/40,"")</f>
        <v/>
      </c>
      <c r="AL23" s="708" t="str">
        <f>IFERROR('2. Roles &amp; Pricing'!AN177/40,"")</f>
        <v/>
      </c>
      <c r="AM23" s="708" t="str">
        <f>IFERROR('2. Roles &amp; Pricing'!AO177/40,"")</f>
        <v/>
      </c>
      <c r="AN23" s="708" t="str">
        <f>IFERROR('2. Roles &amp; Pricing'!AP177/40,"")</f>
        <v/>
      </c>
      <c r="AO23" s="708" t="str">
        <f>IFERROR('2. Roles &amp; Pricing'!AQ177/40,"")</f>
        <v/>
      </c>
      <c r="AP23" s="708" t="str">
        <f>IFERROR('2. Roles &amp; Pricing'!AR177/40,"")</f>
        <v/>
      </c>
      <c r="AQ23" s="708" t="str">
        <f>IFERROR('2. Roles &amp; Pricing'!AS177/40,"")</f>
        <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0</v>
      </c>
      <c r="BO23" s="213">
        <f t="shared" si="50"/>
        <v>0</v>
      </c>
      <c r="BP23" s="199" t="str">
        <f>'2. Roles &amp; Pricing'!D298</f>
        <v/>
      </c>
      <c r="BQ23" s="199">
        <f>'2. Roles &amp; Pricing'!F298</f>
        <v>0</v>
      </c>
      <c r="BR23" s="623">
        <f>'2. Roles &amp; Pricing'!F298</f>
        <v>0</v>
      </c>
      <c r="BS23" s="200">
        <f>'2. Roles &amp; Pricing'!I298</f>
        <v>0</v>
      </c>
      <c r="BT23" s="201" t="str">
        <f t="shared" si="51"/>
        <v/>
      </c>
      <c r="BU23" s="214">
        <f t="shared" si="48"/>
        <v>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v>
      </c>
      <c r="D24" s="207" t="str">
        <f t="shared" si="47"/>
        <v>0____0</v>
      </c>
      <c r="E24" s="207">
        <v>21</v>
      </c>
      <c r="F24" s="207">
        <v>8</v>
      </c>
      <c r="G24" s="208">
        <f>'2. Roles &amp; Pricing'!D56</f>
        <v>0</v>
      </c>
      <c r="H24" s="209" t="str">
        <f>'2. Roles &amp; Pricing'!E56</f>
        <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v>
      </c>
      <c r="D25" s="207" t="str">
        <f t="shared" si="47"/>
        <v>0____0</v>
      </c>
      <c r="E25" s="207">
        <v>20</v>
      </c>
      <c r="F25" s="207">
        <v>10</v>
      </c>
      <c r="G25" s="208">
        <f>'2. Roles &amp; Pricing'!D57</f>
        <v>0</v>
      </c>
      <c r="H25" s="209" t="str">
        <f>'2. Roles &amp; Pricing'!E57</f>
        <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v>
      </c>
      <c r="D26" s="207" t="str">
        <f t="shared" si="47"/>
        <v>0____0</v>
      </c>
      <c r="E26" s="207">
        <v>20</v>
      </c>
      <c r="F26" s="207">
        <v>10</v>
      </c>
      <c r="G26" s="208">
        <f>'2. Roles &amp; Pricing'!D58</f>
        <v>0</v>
      </c>
      <c r="H26" s="209" t="str">
        <f>'2. Roles &amp; Pricing'!E58</f>
        <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v>
      </c>
      <c r="D27" s="207" t="str">
        <f t="shared" si="47"/>
        <v>0____0</v>
      </c>
      <c r="E27" s="207">
        <v>20</v>
      </c>
      <c r="F27" s="207">
        <v>10</v>
      </c>
      <c r="G27" s="208">
        <f>'2. Roles &amp; Pricing'!D59</f>
        <v>0</v>
      </c>
      <c r="H27" s="209" t="str">
        <f>'2. Roles &amp; Pricing'!E59</f>
        <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v>
      </c>
      <c r="D28" s="207" t="str">
        <f t="shared" si="47"/>
        <v>0____0</v>
      </c>
      <c r="E28" s="207">
        <v>20</v>
      </c>
      <c r="F28" s="207">
        <v>10</v>
      </c>
      <c r="G28" s="208">
        <f>'2. Roles &amp; Pricing'!D60</f>
        <v>0</v>
      </c>
      <c r="H28" s="209" t="str">
        <f>'2. Roles &amp; Pricing'!E60</f>
        <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v>
      </c>
      <c r="D29" s="207" t="str">
        <f t="shared" si="47"/>
        <v>0____0</v>
      </c>
      <c r="E29" s="207">
        <v>20</v>
      </c>
      <c r="F29" s="207">
        <v>10</v>
      </c>
      <c r="G29" s="208">
        <f>'2. Roles &amp; Pricing'!D61</f>
        <v>0</v>
      </c>
      <c r="H29" s="209" t="str">
        <f>'2. Roles &amp; Pricing'!E61</f>
        <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v>
      </c>
      <c r="D30" s="207" t="str">
        <f t="shared" si="47"/>
        <v>0____0</v>
      </c>
      <c r="E30" s="207">
        <v>20</v>
      </c>
      <c r="F30" s="207">
        <v>10</v>
      </c>
      <c r="G30" s="208">
        <f>'2. Roles &amp; Pricing'!D62</f>
        <v>0</v>
      </c>
      <c r="H30" s="209" t="str">
        <f>'2. Roles &amp; Pricing'!E62</f>
        <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v>
      </c>
      <c r="D31" s="218" t="str">
        <f t="shared" si="47"/>
        <v>0____0</v>
      </c>
      <c r="E31" s="218">
        <v>20</v>
      </c>
      <c r="F31" s="218">
        <v>10</v>
      </c>
      <c r="G31" s="219">
        <f>'2. Roles &amp; Pricing'!D63</f>
        <v>0</v>
      </c>
      <c r="H31" s="220" t="str">
        <f>'2. Roles &amp; Pricing'!E63</f>
        <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v>
      </c>
      <c r="D32" s="229" t="str">
        <f t="shared" si="47"/>
        <v>0____0</v>
      </c>
      <c r="E32" s="229">
        <v>21</v>
      </c>
      <c r="F32" s="229">
        <v>8</v>
      </c>
      <c r="G32" s="230">
        <f>'2. Roles &amp; Pricing'!D64</f>
        <v>0</v>
      </c>
      <c r="H32" s="231" t="str">
        <f>'2. Roles &amp; Pricing'!E64</f>
        <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70"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v>
      </c>
      <c r="D33" s="240" t="str">
        <f t="shared" si="47"/>
        <v>0____0</v>
      </c>
      <c r="E33" s="240">
        <v>20</v>
      </c>
      <c r="F33" s="240">
        <v>10</v>
      </c>
      <c r="G33" s="241">
        <f>'2. Roles &amp; Pricing'!D65</f>
        <v>0</v>
      </c>
      <c r="H33" s="242" t="str">
        <f>'2. Roles &amp; Pricing'!E65</f>
        <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71"/>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80"/>
      <c r="B34" s="1781"/>
      <c r="C34" s="1781"/>
      <c r="D34" s="1781"/>
      <c r="E34" s="1781"/>
      <c r="F34" s="1781"/>
      <c r="G34" s="1781"/>
      <c r="H34" s="1781"/>
      <c r="I34" s="1782"/>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173.5</v>
      </c>
      <c r="BO34" s="250">
        <f>SUM(BO16:BO33)</f>
        <v>867.5</v>
      </c>
      <c r="BP34" s="251">
        <f>SUM(BP16:BP33)</f>
        <v>766000</v>
      </c>
      <c r="BQ34" s="199">
        <f>'2. Roles &amp; Pricing'!F309</f>
        <v>0</v>
      </c>
      <c r="BR34" s="252"/>
      <c r="BS34" s="253"/>
      <c r="BT34" s="254">
        <f>SUM(BT16:BT33)</f>
        <v>766000</v>
      </c>
      <c r="BU34" s="255">
        <f>SUM(BU16:BU33)</f>
        <v>6940</v>
      </c>
    </row>
    <row r="35" spans="1:94" s="204" customFormat="1" ht="14.4" thickBot="1" x14ac:dyDescent="0.35">
      <c r="A35" s="1780"/>
      <c r="B35" s="1781"/>
      <c r="C35" s="1781"/>
      <c r="D35" s="1781"/>
      <c r="E35" s="1781"/>
      <c r="F35" s="1781"/>
      <c r="G35" s="1781"/>
      <c r="H35" s="1781"/>
      <c r="I35" s="1782"/>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72" t="s">
        <v>2021</v>
      </c>
      <c r="BO36" s="1773"/>
      <c r="BP36" s="864">
        <v>0</v>
      </c>
      <c r="BR36" s="141"/>
      <c r="BS36" s="146" t="s">
        <v>2022</v>
      </c>
      <c r="BT36" s="1622">
        <f>IF(H5="Fixed Price",'3. Financial Inputs'!C67,'3. Financial Inputs'!C65)</f>
        <v>0.08</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74" t="s">
        <v>2024</v>
      </c>
      <c r="BO37" s="1775"/>
      <c r="BP37" s="272">
        <f>+BP34-BP36</f>
        <v>766000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23920</v>
      </c>
      <c r="O38" s="275">
        <f t="shared" si="52"/>
        <v>23920</v>
      </c>
      <c r="P38" s="276">
        <f t="shared" si="52"/>
        <v>23920</v>
      </c>
      <c r="Q38" s="277">
        <f t="shared" si="52"/>
        <v>23920</v>
      </c>
      <c r="R38" s="278">
        <f t="shared" si="52"/>
        <v>26120</v>
      </c>
      <c r="S38" s="277">
        <f t="shared" si="52"/>
        <v>26120</v>
      </c>
      <c r="T38" s="278">
        <f t="shared" si="52"/>
        <v>26120</v>
      </c>
      <c r="U38" s="277">
        <f t="shared" si="52"/>
        <v>26120</v>
      </c>
      <c r="V38" s="278">
        <f t="shared" si="52"/>
        <v>26120</v>
      </c>
      <c r="W38" s="277">
        <f t="shared" si="52"/>
        <v>26120</v>
      </c>
      <c r="X38" s="278">
        <f t="shared" si="52"/>
        <v>26120</v>
      </c>
      <c r="Y38" s="277">
        <f t="shared" si="52"/>
        <v>26120</v>
      </c>
      <c r="Z38" s="278">
        <f t="shared" si="52"/>
        <v>26120</v>
      </c>
      <c r="AA38" s="277">
        <f t="shared" si="52"/>
        <v>23920</v>
      </c>
      <c r="AB38" s="278">
        <f t="shared" si="52"/>
        <v>23920</v>
      </c>
      <c r="AC38" s="277">
        <f t="shared" si="52"/>
        <v>23920</v>
      </c>
      <c r="AD38" s="278">
        <f t="shared" si="52"/>
        <v>23920</v>
      </c>
      <c r="AE38" s="277">
        <f t="shared" si="52"/>
        <v>26120</v>
      </c>
      <c r="AF38" s="278">
        <f t="shared" si="52"/>
        <v>26120</v>
      </c>
      <c r="AG38" s="277">
        <f t="shared" si="52"/>
        <v>26120</v>
      </c>
      <c r="AH38" s="277">
        <f t="shared" si="52"/>
        <v>26120</v>
      </c>
      <c r="AI38" s="278">
        <f t="shared" si="52"/>
        <v>26120</v>
      </c>
      <c r="AJ38" s="277">
        <f t="shared" si="52"/>
        <v>26120</v>
      </c>
      <c r="AK38" s="278">
        <f t="shared" si="52"/>
        <v>26120</v>
      </c>
      <c r="AL38" s="277">
        <f t="shared" si="52"/>
        <v>26120</v>
      </c>
      <c r="AM38" s="278">
        <f t="shared" si="52"/>
        <v>26120</v>
      </c>
      <c r="AN38" s="277">
        <f t="shared" si="52"/>
        <v>26120</v>
      </c>
      <c r="AO38" s="278">
        <f t="shared" si="52"/>
        <v>26120</v>
      </c>
      <c r="AP38" s="277">
        <f t="shared" si="52"/>
        <v>26120</v>
      </c>
      <c r="AQ38" s="278">
        <f t="shared" si="52"/>
        <v>26120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776" t="s">
        <v>2025</v>
      </c>
      <c r="BO38" s="1777"/>
      <c r="BP38" s="279">
        <f>+BP37*1.4</f>
        <v>1072400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23920</v>
      </c>
      <c r="O39" s="1753">
        <f>SUM(O38:Q38)</f>
        <v>71760</v>
      </c>
      <c r="P39" s="1754"/>
      <c r="Q39" s="1755"/>
      <c r="R39" s="1756">
        <f>SUM(R38:S38)</f>
        <v>52240</v>
      </c>
      <c r="S39" s="1757"/>
      <c r="T39" s="1753">
        <f>SUM(T38:U38)</f>
        <v>52240</v>
      </c>
      <c r="U39" s="1755"/>
      <c r="V39" s="1756">
        <f>SUM(V38:AS38)</f>
        <v>565840</v>
      </c>
      <c r="W39" s="1758"/>
      <c r="X39" s="1758"/>
      <c r="Y39" s="1758"/>
      <c r="Z39" s="1758"/>
      <c r="AA39" s="1758"/>
      <c r="AB39" s="1758"/>
      <c r="AC39" s="1758"/>
      <c r="AD39" s="1758"/>
      <c r="AE39" s="1758"/>
      <c r="AF39" s="1758"/>
      <c r="AG39" s="1758"/>
      <c r="AH39" s="1758"/>
      <c r="AI39" s="1758"/>
      <c r="AJ39" s="1758"/>
      <c r="AK39" s="1758"/>
      <c r="AL39" s="1758"/>
      <c r="AM39" s="1758"/>
      <c r="AN39" s="1758"/>
      <c r="AO39" s="1758"/>
      <c r="AP39" s="1758"/>
      <c r="AQ39" s="1758"/>
      <c r="AR39" s="1758"/>
      <c r="AS39" s="1757"/>
      <c r="AT39" s="1753">
        <f>SUM(AT38:AU38)</f>
        <v>0</v>
      </c>
      <c r="AU39" s="1755"/>
      <c r="AV39" s="1756">
        <f>SUM(AV38:AW38)</f>
        <v>0</v>
      </c>
      <c r="AW39" s="1757"/>
      <c r="AX39" s="1753">
        <f>SUM(AX38:AY38)</f>
        <v>0</v>
      </c>
      <c r="AY39" s="1755"/>
      <c r="AZ39" s="1756">
        <f>SUM(AZ38:BA38)</f>
        <v>0</v>
      </c>
      <c r="BA39" s="1757"/>
      <c r="BB39" s="1753">
        <f>SUM(BB38:BC38)</f>
        <v>0</v>
      </c>
      <c r="BC39" s="1755"/>
      <c r="BD39" s="1753">
        <f>SUM(BD38:BE38)</f>
        <v>0</v>
      </c>
      <c r="BE39" s="1755"/>
      <c r="BF39" s="1756">
        <f>SUM(BF38:BG38)</f>
        <v>0</v>
      </c>
      <c r="BG39" s="1757"/>
      <c r="BH39" s="1753">
        <f>SUM(BH38:BI38)</f>
        <v>0</v>
      </c>
      <c r="BI39" s="1755"/>
      <c r="BJ39" s="1756">
        <f>SUM(BJ38:BK38)</f>
        <v>0</v>
      </c>
      <c r="BK39" s="1757"/>
      <c r="BL39" s="1753">
        <f>SUM(BL38:BM38)</f>
        <v>0</v>
      </c>
      <c r="BM39" s="1755"/>
      <c r="BN39" s="1778" t="s">
        <v>2030</v>
      </c>
      <c r="BO39" s="1779"/>
      <c r="BP39" s="283">
        <f>+BP37*1.2</f>
        <v>919200</v>
      </c>
      <c r="BR39" s="141"/>
      <c r="BS39" s="284" t="s">
        <v>2031</v>
      </c>
      <c r="BT39" s="285">
        <f>BP37-BP36</f>
        <v>766000</v>
      </c>
      <c r="BU39" s="286">
        <f>(BT39-BQ34)/BT39</f>
        <v>1</v>
      </c>
      <c r="BV39" s="285">
        <f>BT39/BU34</f>
        <v>110.37463976945244</v>
      </c>
    </row>
    <row r="40" spans="1:94" s="140" customFormat="1" ht="14.4" thickBot="1" x14ac:dyDescent="0.3">
      <c r="A40" s="141"/>
      <c r="B40" s="262"/>
      <c r="C40" s="262"/>
      <c r="D40" s="262"/>
      <c r="E40" s="262"/>
      <c r="F40" s="262"/>
      <c r="J40" s="287" t="s">
        <v>2032</v>
      </c>
      <c r="K40" s="147"/>
      <c r="N40" s="1766">
        <f>SUM(N38:Q38)</f>
        <v>95680</v>
      </c>
      <c r="O40" s="1767"/>
      <c r="P40" s="1767"/>
      <c r="Q40" s="1767"/>
      <c r="R40" s="1768">
        <f>SUM(R38:U38)</f>
        <v>104480</v>
      </c>
      <c r="S40" s="1769"/>
      <c r="T40" s="1769"/>
      <c r="U40" s="1769"/>
      <c r="V40" s="1766">
        <f>SUM(V38:BE38)</f>
        <v>565840</v>
      </c>
      <c r="W40" s="1767"/>
      <c r="X40" s="1767"/>
      <c r="Y40" s="1767"/>
      <c r="Z40" s="1767"/>
      <c r="AA40" s="1767"/>
      <c r="AB40" s="1767"/>
      <c r="AC40" s="1767"/>
      <c r="AD40" s="1767"/>
      <c r="AE40" s="1767"/>
      <c r="AF40" s="1767"/>
      <c r="AG40" s="1767"/>
      <c r="AH40" s="1767"/>
      <c r="AI40" s="1767"/>
      <c r="AJ40" s="1767"/>
      <c r="AK40" s="1767"/>
      <c r="AL40" s="1767"/>
      <c r="AM40" s="1767"/>
      <c r="AN40" s="1767"/>
      <c r="AO40" s="1767"/>
      <c r="AP40" s="1767"/>
      <c r="AQ40" s="1767"/>
      <c r="AR40" s="1767"/>
      <c r="AS40" s="1767"/>
      <c r="AT40" s="1767"/>
      <c r="AU40" s="1767"/>
      <c r="AV40" s="1767"/>
      <c r="AW40" s="1767"/>
      <c r="AX40" s="1767"/>
      <c r="AY40" s="1767"/>
      <c r="AZ40" s="1767"/>
      <c r="BA40" s="1767"/>
      <c r="BB40" s="1767"/>
      <c r="BC40" s="1767"/>
      <c r="BD40" s="1767"/>
      <c r="BE40" s="1767"/>
      <c r="BF40" s="1768">
        <f>SUM(BF38:BI38)</f>
        <v>0</v>
      </c>
      <c r="BG40" s="1769"/>
      <c r="BH40" s="1769"/>
      <c r="BI40" s="1769"/>
      <c r="BJ40" s="1766">
        <f>SUM(BJ38:BM38)</f>
        <v>0</v>
      </c>
      <c r="BK40" s="1767"/>
      <c r="BL40" s="1767"/>
      <c r="BM40" s="1767"/>
      <c r="BN40" s="1762" t="s">
        <v>2033</v>
      </c>
      <c r="BO40" s="1763"/>
      <c r="BP40" s="288">
        <f>+BP37*1.3</f>
        <v>995800</v>
      </c>
      <c r="BR40" s="141"/>
      <c r="BS40" s="289" t="s">
        <v>2034</v>
      </c>
      <c r="BT40" s="290">
        <f>BT34-BT36</f>
        <v>765999.92</v>
      </c>
      <c r="BU40" s="291">
        <f>(BT40-BQ34)/BT40</f>
        <v>1</v>
      </c>
      <c r="BV40" s="290">
        <f>BT40/BU34</f>
        <v>110.37462824207493</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764" t="s">
        <v>2038</v>
      </c>
      <c r="BO42" s="1765"/>
      <c r="BP42" s="293">
        <f>BT34</f>
        <v>766000</v>
      </c>
      <c r="BQ42" s="294" t="s">
        <v>2039</v>
      </c>
      <c r="BR42" s="141"/>
    </row>
    <row r="43" spans="1:94" x14ac:dyDescent="0.25">
      <c r="J43" s="273" t="s">
        <v>180</v>
      </c>
      <c r="N43" s="274">
        <f t="shared" ref="N43:AS43" si="54">SUMPRODUCT(N16:N33,$BS$16:$BS$33)*40*1.2</f>
        <v>28704</v>
      </c>
      <c r="O43" s="278">
        <f t="shared" si="54"/>
        <v>28704</v>
      </c>
      <c r="P43" s="276">
        <f t="shared" si="54"/>
        <v>28704</v>
      </c>
      <c r="Q43" s="277">
        <f t="shared" si="54"/>
        <v>28704</v>
      </c>
      <c r="R43" s="278">
        <f t="shared" si="54"/>
        <v>31344</v>
      </c>
      <c r="S43" s="277">
        <f t="shared" si="54"/>
        <v>31344</v>
      </c>
      <c r="T43" s="278">
        <f t="shared" si="54"/>
        <v>31344</v>
      </c>
      <c r="U43" s="277">
        <f t="shared" si="54"/>
        <v>31344</v>
      </c>
      <c r="V43" s="278">
        <f t="shared" si="54"/>
        <v>31344</v>
      </c>
      <c r="W43" s="277">
        <f t="shared" si="54"/>
        <v>31344</v>
      </c>
      <c r="X43" s="278">
        <f t="shared" si="54"/>
        <v>31344</v>
      </c>
      <c r="Y43" s="277">
        <f t="shared" si="54"/>
        <v>31344</v>
      </c>
      <c r="Z43" s="278">
        <f t="shared" si="54"/>
        <v>31344</v>
      </c>
      <c r="AA43" s="277">
        <f t="shared" si="54"/>
        <v>28704</v>
      </c>
      <c r="AB43" s="278">
        <f t="shared" si="54"/>
        <v>28704</v>
      </c>
      <c r="AC43" s="277">
        <f t="shared" si="54"/>
        <v>28704</v>
      </c>
      <c r="AD43" s="278">
        <f t="shared" si="54"/>
        <v>28704</v>
      </c>
      <c r="AE43" s="277">
        <f t="shared" si="54"/>
        <v>31344</v>
      </c>
      <c r="AF43" s="278">
        <f t="shared" si="54"/>
        <v>31344</v>
      </c>
      <c r="AG43" s="277">
        <f t="shared" si="54"/>
        <v>31344</v>
      </c>
      <c r="AH43" s="277">
        <f t="shared" si="54"/>
        <v>31344</v>
      </c>
      <c r="AI43" s="278">
        <f t="shared" si="54"/>
        <v>31344</v>
      </c>
      <c r="AJ43" s="277">
        <f t="shared" si="54"/>
        <v>31344</v>
      </c>
      <c r="AK43" s="278">
        <f t="shared" si="54"/>
        <v>31344</v>
      </c>
      <c r="AL43" s="277">
        <f t="shared" si="54"/>
        <v>31344</v>
      </c>
      <c r="AM43" s="278">
        <f t="shared" si="54"/>
        <v>31344</v>
      </c>
      <c r="AN43" s="277">
        <f t="shared" si="54"/>
        <v>31344</v>
      </c>
      <c r="AO43" s="278">
        <f t="shared" si="54"/>
        <v>31344</v>
      </c>
      <c r="AP43" s="277">
        <f t="shared" si="54"/>
        <v>31344</v>
      </c>
      <c r="AQ43" s="278">
        <f t="shared" si="54"/>
        <v>31344</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747" t="s">
        <v>2040</v>
      </c>
      <c r="BO43" s="1748"/>
      <c r="BP43" s="295"/>
      <c r="BT43" s="281" t="s">
        <v>2041</v>
      </c>
      <c r="BU43" s="281" t="s">
        <v>2042</v>
      </c>
      <c r="BV43" s="281" t="s">
        <v>2028</v>
      </c>
      <c r="BW43" s="296" t="s">
        <v>2043</v>
      </c>
    </row>
    <row r="44" spans="1:94" ht="14.4" thickBot="1" x14ac:dyDescent="0.3">
      <c r="J44" s="273" t="s">
        <v>2029</v>
      </c>
      <c r="N44" s="282">
        <f>SUM(N43)</f>
        <v>28704</v>
      </c>
      <c r="O44" s="1753">
        <f>SUM(O43:Q43)</f>
        <v>86112</v>
      </c>
      <c r="P44" s="1754"/>
      <c r="Q44" s="1755"/>
      <c r="R44" s="1756">
        <f>SUM(R43:S43)</f>
        <v>62688</v>
      </c>
      <c r="S44" s="1757"/>
      <c r="T44" s="1753">
        <f>SUM(T43:U43)</f>
        <v>62688</v>
      </c>
      <c r="U44" s="1755"/>
      <c r="V44" s="1756">
        <f>SUM(V43:AS43)</f>
        <v>679008</v>
      </c>
      <c r="W44" s="1758"/>
      <c r="X44" s="1758"/>
      <c r="Y44" s="1758"/>
      <c r="Z44" s="1758"/>
      <c r="AA44" s="1758"/>
      <c r="AB44" s="1758"/>
      <c r="AC44" s="1758"/>
      <c r="AD44" s="1758"/>
      <c r="AE44" s="1758"/>
      <c r="AF44" s="1758"/>
      <c r="AG44" s="1758"/>
      <c r="AH44" s="1758"/>
      <c r="AI44" s="1758"/>
      <c r="AJ44" s="1758"/>
      <c r="AK44" s="1758"/>
      <c r="AL44" s="1758"/>
      <c r="AM44" s="1758"/>
      <c r="AN44" s="1758"/>
      <c r="AO44" s="1758"/>
      <c r="AP44" s="1758"/>
      <c r="AQ44" s="1758"/>
      <c r="AR44" s="1758"/>
      <c r="AS44" s="1757"/>
      <c r="AT44" s="1753">
        <f>SUM(AT43:AU43)</f>
        <v>0</v>
      </c>
      <c r="AU44" s="1755"/>
      <c r="AV44" s="1756">
        <f>SUM(AV43:AW43)</f>
        <v>0</v>
      </c>
      <c r="AW44" s="1757"/>
      <c r="AX44" s="1753">
        <f>SUM(AX43:AY43)</f>
        <v>0</v>
      </c>
      <c r="AY44" s="1755"/>
      <c r="AZ44" s="1756">
        <f>SUM(AZ43:BA43)</f>
        <v>0</v>
      </c>
      <c r="BA44" s="1757"/>
      <c r="BB44" s="1753">
        <f>SUM(BB43:BC43)</f>
        <v>0</v>
      </c>
      <c r="BC44" s="1755"/>
      <c r="BD44" s="1753">
        <f>SUM(BD43:BE43)</f>
        <v>0</v>
      </c>
      <c r="BE44" s="1755"/>
      <c r="BF44" s="1756">
        <f>SUM(BF43:BG43)</f>
        <v>0</v>
      </c>
      <c r="BG44" s="1757"/>
      <c r="BH44" s="1753">
        <f>SUM(BH43:BI43)</f>
        <v>0</v>
      </c>
      <c r="BI44" s="1755"/>
      <c r="BJ44" s="1756">
        <f>SUM(BJ43:BK43)</f>
        <v>0</v>
      </c>
      <c r="BK44" s="1757"/>
      <c r="BL44" s="1753">
        <f>SUM(BL43:BM43)</f>
        <v>0</v>
      </c>
      <c r="BM44" s="1755"/>
      <c r="BN44" s="1747" t="s">
        <v>218</v>
      </c>
      <c r="BO44" s="1748"/>
      <c r="BP44" s="295"/>
      <c r="BS44" s="284" t="s">
        <v>2031</v>
      </c>
      <c r="BT44" s="285">
        <f>BP39-BP36</f>
        <v>919200</v>
      </c>
      <c r="BU44" s="286">
        <f>(BT44-BQ34)/BT44</f>
        <v>1</v>
      </c>
      <c r="BV44" s="285">
        <f>BT44/BU34</f>
        <v>132.44956772334294</v>
      </c>
    </row>
    <row r="45" spans="1:94" ht="14.4" thickBot="1" x14ac:dyDescent="0.3">
      <c r="J45" s="287" t="s">
        <v>2032</v>
      </c>
      <c r="N45" s="1744">
        <f>SUM(N43:Q43)</f>
        <v>114816</v>
      </c>
      <c r="O45" s="1745"/>
      <c r="P45" s="1745"/>
      <c r="Q45" s="1746"/>
      <c r="R45" s="1759">
        <f t="shared" ref="R45" si="56">SUM(R43:U43)</f>
        <v>125376</v>
      </c>
      <c r="S45" s="1760"/>
      <c r="T45" s="1760"/>
      <c r="U45" s="1761"/>
      <c r="V45" s="1744">
        <f t="shared" ref="V45" si="57">SUM(V43:BE43)</f>
        <v>679008</v>
      </c>
      <c r="W45" s="1745"/>
      <c r="X45" s="1745"/>
      <c r="Y45" s="1745"/>
      <c r="Z45" s="1745"/>
      <c r="AA45" s="1745"/>
      <c r="AB45" s="1745"/>
      <c r="AC45" s="1745"/>
      <c r="AD45" s="1745"/>
      <c r="AE45" s="1745"/>
      <c r="AF45" s="1745"/>
      <c r="AG45" s="1745"/>
      <c r="AH45" s="1745"/>
      <c r="AI45" s="1745"/>
      <c r="AJ45" s="1745"/>
      <c r="AK45" s="1745"/>
      <c r="AL45" s="1745"/>
      <c r="AM45" s="1745"/>
      <c r="AN45" s="1745"/>
      <c r="AO45" s="1745"/>
      <c r="AP45" s="1745"/>
      <c r="AQ45" s="1745"/>
      <c r="AR45" s="1745"/>
      <c r="AS45" s="1745"/>
      <c r="AT45" s="1745"/>
      <c r="AU45" s="1745"/>
      <c r="AV45" s="1745"/>
      <c r="AW45" s="1745"/>
      <c r="AX45" s="1745"/>
      <c r="AY45" s="1745"/>
      <c r="AZ45" s="1745"/>
      <c r="BA45" s="1745"/>
      <c r="BB45" s="1745"/>
      <c r="BC45" s="1745"/>
      <c r="BD45" s="1745"/>
      <c r="BE45" s="1746"/>
      <c r="BF45" s="1759">
        <f t="shared" ref="BF45" si="58">SUM(BF43:BI43)</f>
        <v>0</v>
      </c>
      <c r="BG45" s="1760"/>
      <c r="BH45" s="1760"/>
      <c r="BI45" s="1761"/>
      <c r="BJ45" s="1744">
        <f t="shared" ref="BJ45" si="59">SUM(BJ43:BM43)</f>
        <v>0</v>
      </c>
      <c r="BK45" s="1745"/>
      <c r="BL45" s="1745"/>
      <c r="BM45" s="1746"/>
      <c r="BN45" s="1747" t="s">
        <v>219</v>
      </c>
      <c r="BO45" s="1748"/>
      <c r="BP45" s="295"/>
      <c r="BS45" s="289" t="s">
        <v>2034</v>
      </c>
      <c r="BT45" s="290">
        <f>(BT34-BT36)*1.2</f>
        <v>919199.90399999998</v>
      </c>
      <c r="BU45" s="291">
        <f>(BT45-BQ34)/BT45</f>
        <v>1</v>
      </c>
      <c r="BV45" s="290">
        <f>BT45/BU34</f>
        <v>132.44955389048991</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751" t="s">
        <v>2044</v>
      </c>
      <c r="BO46" s="1752"/>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31096</v>
      </c>
      <c r="O48" s="278">
        <f t="shared" si="60"/>
        <v>31096</v>
      </c>
      <c r="P48" s="276">
        <f t="shared" si="60"/>
        <v>31096</v>
      </c>
      <c r="Q48" s="277">
        <f t="shared" si="60"/>
        <v>31096</v>
      </c>
      <c r="R48" s="278">
        <f t="shared" si="60"/>
        <v>33956</v>
      </c>
      <c r="S48" s="277">
        <f t="shared" si="60"/>
        <v>33956</v>
      </c>
      <c r="T48" s="278">
        <f t="shared" si="60"/>
        <v>33956</v>
      </c>
      <c r="U48" s="277">
        <f t="shared" si="60"/>
        <v>33956</v>
      </c>
      <c r="V48" s="278">
        <f t="shared" si="60"/>
        <v>33956</v>
      </c>
      <c r="W48" s="277">
        <f t="shared" si="60"/>
        <v>33956</v>
      </c>
      <c r="X48" s="278">
        <f t="shared" si="60"/>
        <v>33956</v>
      </c>
      <c r="Y48" s="277">
        <f t="shared" si="60"/>
        <v>33956</v>
      </c>
      <c r="Z48" s="278">
        <f t="shared" si="60"/>
        <v>33956</v>
      </c>
      <c r="AA48" s="277">
        <f t="shared" si="60"/>
        <v>31096</v>
      </c>
      <c r="AB48" s="278">
        <f t="shared" si="60"/>
        <v>31096</v>
      </c>
      <c r="AC48" s="277">
        <f t="shared" si="60"/>
        <v>31096</v>
      </c>
      <c r="AD48" s="278">
        <f t="shared" si="60"/>
        <v>31096</v>
      </c>
      <c r="AE48" s="277">
        <f t="shared" si="60"/>
        <v>33956</v>
      </c>
      <c r="AF48" s="278">
        <f t="shared" si="60"/>
        <v>33956</v>
      </c>
      <c r="AG48" s="277">
        <f t="shared" si="60"/>
        <v>33956</v>
      </c>
      <c r="AH48" s="277">
        <f t="shared" si="60"/>
        <v>33956</v>
      </c>
      <c r="AI48" s="278">
        <f t="shared" si="60"/>
        <v>33956</v>
      </c>
      <c r="AJ48" s="277">
        <f t="shared" si="60"/>
        <v>33956</v>
      </c>
      <c r="AK48" s="278">
        <f t="shared" si="60"/>
        <v>33956</v>
      </c>
      <c r="AL48" s="277">
        <f t="shared" si="60"/>
        <v>33956</v>
      </c>
      <c r="AM48" s="278">
        <f t="shared" si="60"/>
        <v>33956</v>
      </c>
      <c r="AN48" s="277">
        <f t="shared" si="60"/>
        <v>33956</v>
      </c>
      <c r="AO48" s="278">
        <f t="shared" si="60"/>
        <v>33956</v>
      </c>
      <c r="AP48" s="277">
        <f t="shared" si="60"/>
        <v>33956</v>
      </c>
      <c r="AQ48" s="278">
        <f t="shared" si="60"/>
        <v>33956</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31096</v>
      </c>
      <c r="O49" s="1753">
        <f>SUM(O48:Q48)</f>
        <v>93288</v>
      </c>
      <c r="P49" s="1754"/>
      <c r="Q49" s="1755"/>
      <c r="R49" s="1756">
        <f>SUM(R48:S48)</f>
        <v>67912</v>
      </c>
      <c r="S49" s="1757"/>
      <c r="T49" s="1753">
        <f>SUM(T48:U48)</f>
        <v>67912</v>
      </c>
      <c r="U49" s="1755"/>
      <c r="V49" s="1756">
        <f>SUM(V48:AS48)</f>
        <v>735592</v>
      </c>
      <c r="W49" s="1758"/>
      <c r="X49" s="1758"/>
      <c r="Y49" s="1758"/>
      <c r="Z49" s="1758"/>
      <c r="AA49" s="1758"/>
      <c r="AB49" s="1758"/>
      <c r="AC49" s="1758"/>
      <c r="AD49" s="1758"/>
      <c r="AE49" s="1758"/>
      <c r="AF49" s="1758"/>
      <c r="AG49" s="1758"/>
      <c r="AH49" s="1758"/>
      <c r="AI49" s="1758"/>
      <c r="AJ49" s="1758"/>
      <c r="AK49" s="1758"/>
      <c r="AL49" s="1758"/>
      <c r="AM49" s="1758"/>
      <c r="AN49" s="1758"/>
      <c r="AO49" s="1758"/>
      <c r="AP49" s="1758"/>
      <c r="AQ49" s="1758"/>
      <c r="AR49" s="1758"/>
      <c r="AS49" s="1757"/>
      <c r="AT49" s="1753">
        <f>SUM(AT48:AU48)</f>
        <v>0</v>
      </c>
      <c r="AU49" s="1755"/>
      <c r="AV49" s="1756">
        <f>SUM(AV48:AW48)</f>
        <v>0</v>
      </c>
      <c r="AW49" s="1757"/>
      <c r="AX49" s="1753">
        <f>SUM(AX48:AY48)</f>
        <v>0</v>
      </c>
      <c r="AY49" s="1755"/>
      <c r="AZ49" s="1756">
        <f>SUM(AZ48:BA48)</f>
        <v>0</v>
      </c>
      <c r="BA49" s="1757"/>
      <c r="BB49" s="1753">
        <f>SUM(BB48:BC48)</f>
        <v>0</v>
      </c>
      <c r="BC49" s="1755"/>
      <c r="BD49" s="1753">
        <f>SUM(BD48:BE48)</f>
        <v>0</v>
      </c>
      <c r="BE49" s="1755"/>
      <c r="BF49" s="1756">
        <f>SUM(BF48:BG48)</f>
        <v>0</v>
      </c>
      <c r="BG49" s="1757"/>
      <c r="BH49" s="1753">
        <f>SUM(BH48:BI48)</f>
        <v>0</v>
      </c>
      <c r="BI49" s="1755"/>
      <c r="BJ49" s="1756">
        <f>SUM(BJ48:BK48)</f>
        <v>0</v>
      </c>
      <c r="BK49" s="1757"/>
      <c r="BL49" s="1753">
        <f>SUM(BL48:BM48)</f>
        <v>0</v>
      </c>
      <c r="BM49" s="1755"/>
      <c r="BN49" s="297"/>
      <c r="BO49" s="298"/>
      <c r="BP49" s="299"/>
    </row>
    <row r="50" spans="1:68" ht="14.4" thickBot="1" x14ac:dyDescent="0.3">
      <c r="J50" s="287" t="s">
        <v>2032</v>
      </c>
      <c r="N50" s="1744">
        <f>SUM(N48:Q48)</f>
        <v>124384</v>
      </c>
      <c r="O50" s="1745"/>
      <c r="P50" s="1745"/>
      <c r="Q50" s="1746"/>
      <c r="R50" s="1759">
        <f>SUM(R48:U48)</f>
        <v>135824</v>
      </c>
      <c r="S50" s="1760"/>
      <c r="T50" s="1760"/>
      <c r="U50" s="1761"/>
      <c r="V50" s="1744">
        <f t="shared" ref="V50" si="62">SUM(V48:BE48)</f>
        <v>735592</v>
      </c>
      <c r="W50" s="1745"/>
      <c r="X50" s="1745"/>
      <c r="Y50" s="1745"/>
      <c r="Z50" s="1745"/>
      <c r="AA50" s="1745"/>
      <c r="AB50" s="1745"/>
      <c r="AC50" s="1745"/>
      <c r="AD50" s="1745"/>
      <c r="AE50" s="1745"/>
      <c r="AF50" s="1745"/>
      <c r="AG50" s="1745"/>
      <c r="AH50" s="1745"/>
      <c r="AI50" s="1745"/>
      <c r="AJ50" s="1745"/>
      <c r="AK50" s="1745"/>
      <c r="AL50" s="1745"/>
      <c r="AM50" s="1745"/>
      <c r="AN50" s="1745"/>
      <c r="AO50" s="1745"/>
      <c r="AP50" s="1745"/>
      <c r="AQ50" s="1745"/>
      <c r="AR50" s="1745"/>
      <c r="AS50" s="1745"/>
      <c r="AT50" s="1745"/>
      <c r="AU50" s="1745"/>
      <c r="AV50" s="1745"/>
      <c r="AW50" s="1745"/>
      <c r="AX50" s="1745"/>
      <c r="AY50" s="1745"/>
      <c r="AZ50" s="1745"/>
      <c r="BA50" s="1745"/>
      <c r="BB50" s="1745"/>
      <c r="BC50" s="1745"/>
      <c r="BD50" s="1745"/>
      <c r="BE50" s="1746"/>
      <c r="BF50" s="1759">
        <f t="shared" ref="BF50" si="63">SUM(BF48:BI48)</f>
        <v>0</v>
      </c>
      <c r="BG50" s="1760"/>
      <c r="BH50" s="1760"/>
      <c r="BI50" s="1761"/>
      <c r="BJ50" s="1744">
        <f t="shared" ref="BJ50" si="64">SUM(BJ48:BM48)</f>
        <v>0</v>
      </c>
      <c r="BK50" s="1745"/>
      <c r="BL50" s="1745"/>
      <c r="BM50" s="1746"/>
      <c r="BN50" s="301"/>
      <c r="BO50" s="302"/>
      <c r="BP50" s="303"/>
    </row>
    <row r="51" spans="1:68" ht="14.4" thickBot="1" x14ac:dyDescent="0.3">
      <c r="BN51" s="1749" t="s">
        <v>2047</v>
      </c>
      <c r="BO51" s="1750"/>
      <c r="BP51" s="863">
        <f>'4. Summary &amp; Totals'!C36</f>
        <v>787521</v>
      </c>
    </row>
    <row r="52" spans="1:68" x14ac:dyDescent="0.25">
      <c r="J52" s="304" t="s">
        <v>2048</v>
      </c>
      <c r="K52" s="305">
        <f>+BP34/BO34/8</f>
        <v>110.37463976945244</v>
      </c>
    </row>
    <row r="53" spans="1:68" x14ac:dyDescent="0.25">
      <c r="J53" s="306" t="s">
        <v>2049</v>
      </c>
      <c r="K53" s="307">
        <f>+BP39/BO34/8</f>
        <v>132.44956772334294</v>
      </c>
    </row>
    <row r="54" spans="1:68" ht="14.4" thickBot="1" x14ac:dyDescent="0.3">
      <c r="J54" s="308" t="s">
        <v>2050</v>
      </c>
      <c r="K54" s="309">
        <f>+BP40/BO34/8</f>
        <v>143.48703170028818</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C65" sqref="C65"/>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50" t="s">
        <v>0</v>
      </c>
      <c r="G2" s="1851"/>
      <c r="H2" s="1852"/>
    </row>
    <row r="3" spans="2:8" s="469" customFormat="1" ht="25.05" customHeight="1" x14ac:dyDescent="0.25">
      <c r="B3" s="1821" t="s">
        <v>3193</v>
      </c>
      <c r="C3" s="1821"/>
      <c r="D3" s="1821"/>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59" t="s">
        <v>2315</v>
      </c>
      <c r="C7" s="1859"/>
      <c r="D7" s="1859"/>
      <c r="E7" s="1859"/>
      <c r="F7" s="1859"/>
      <c r="G7" s="1859"/>
    </row>
    <row r="8" spans="2:8" x14ac:dyDescent="0.25">
      <c r="B8" s="1822" t="s">
        <v>3301</v>
      </c>
      <c r="C8" s="1822"/>
      <c r="D8" s="1822"/>
      <c r="E8" s="1822"/>
      <c r="F8" s="1822"/>
      <c r="G8" s="1822"/>
    </row>
    <row r="9" spans="2:8" x14ac:dyDescent="0.25">
      <c r="B9" s="1825" t="s">
        <v>3302</v>
      </c>
      <c r="C9" s="1825"/>
      <c r="D9" s="1825"/>
      <c r="E9" s="1825"/>
      <c r="F9" s="1825"/>
      <c r="G9" s="1825"/>
    </row>
    <row r="10" spans="2:8" x14ac:dyDescent="0.25">
      <c r="B10" s="1822" t="s">
        <v>3303</v>
      </c>
      <c r="C10" s="1822"/>
      <c r="D10" s="1822"/>
      <c r="E10" s="1822"/>
      <c r="F10" s="1822"/>
      <c r="G10" s="1822"/>
    </row>
    <row r="11" spans="2:8" x14ac:dyDescent="0.25">
      <c r="B11" s="1729" t="s">
        <v>3304</v>
      </c>
      <c r="C11" s="1729"/>
      <c r="D11" s="1729"/>
      <c r="E11" s="1729"/>
      <c r="F11" s="1729"/>
      <c r="G11" s="1729"/>
    </row>
    <row r="12" spans="2:8" ht="27.45" customHeight="1" x14ac:dyDescent="0.25">
      <c r="B12" s="1729" t="s">
        <v>3305</v>
      </c>
      <c r="C12" s="1729"/>
      <c r="D12" s="1729"/>
      <c r="E12" s="1729"/>
      <c r="F12" s="1729"/>
      <c r="G12" s="1729"/>
    </row>
    <row r="14" spans="2:8" ht="17.399999999999999" x14ac:dyDescent="0.25">
      <c r="B14" s="859" t="s">
        <v>2325</v>
      </c>
      <c r="C14" s="475"/>
      <c r="D14" s="475"/>
      <c r="E14" s="475"/>
      <c r="F14" s="475"/>
      <c r="G14" s="475"/>
      <c r="H14" s="475"/>
    </row>
    <row r="15" spans="2:8" ht="33.450000000000003" customHeight="1" x14ac:dyDescent="0.25">
      <c r="B15" s="1729" t="s">
        <v>3311</v>
      </c>
      <c r="C15" s="1729"/>
      <c r="D15" s="1729"/>
      <c r="E15" s="1729"/>
      <c r="F15" s="1729"/>
      <c r="G15" s="1729"/>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48" t="s">
        <v>3292</v>
      </c>
      <c r="C19" s="1849"/>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91" t="s">
        <v>3190</v>
      </c>
      <c r="C26" s="1691"/>
      <c r="D26" s="1691"/>
      <c r="E26" s="1691"/>
      <c r="F26" s="1691"/>
      <c r="G26" s="1691"/>
      <c r="H26" s="1691"/>
      <c r="I26" s="1691"/>
    </row>
    <row r="27" spans="2:9" x14ac:dyDescent="0.25">
      <c r="B27" s="1700" t="s">
        <v>3204</v>
      </c>
      <c r="C27" s="1700"/>
      <c r="D27" s="1700"/>
      <c r="E27" s="1700"/>
      <c r="F27" s="1700"/>
      <c r="G27" s="1700"/>
      <c r="H27" s="1700"/>
      <c r="I27" s="1466"/>
    </row>
    <row r="28" spans="2:9" x14ac:dyDescent="0.25">
      <c r="B28" s="1700" t="s">
        <v>3306</v>
      </c>
      <c r="C28" s="1700"/>
      <c r="D28" s="1700"/>
      <c r="E28" s="1700"/>
      <c r="F28" s="1700"/>
      <c r="G28" s="1700"/>
      <c r="H28" s="1700"/>
      <c r="I28" s="1466"/>
    </row>
    <row r="29" spans="2:9" x14ac:dyDescent="0.25">
      <c r="B29" s="1219"/>
      <c r="C29" s="1219"/>
      <c r="D29" s="1219"/>
      <c r="E29" s="1219"/>
      <c r="F29" s="1219"/>
      <c r="G29" s="1219"/>
      <c r="H29" s="1219"/>
      <c r="I29" s="1218"/>
    </row>
    <row r="30" spans="2:9" ht="19.05" customHeight="1" x14ac:dyDescent="0.25">
      <c r="B30" s="1646" t="s">
        <v>2265</v>
      </c>
      <c r="C30" s="1647"/>
    </row>
    <row r="31" spans="2:9" ht="19.05" customHeight="1" x14ac:dyDescent="0.25">
      <c r="B31" s="931" t="s">
        <v>2078</v>
      </c>
      <c r="C31" s="932">
        <f>'2. Roles &amp; Pricing'!D289</f>
        <v>766000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46" t="s">
        <v>2266</v>
      </c>
      <c r="C35" s="1647"/>
    </row>
    <row r="36" spans="2:15" ht="19.05" customHeight="1" x14ac:dyDescent="0.25">
      <c r="B36" s="931" t="s">
        <v>2078</v>
      </c>
      <c r="C36" s="932">
        <f>'2. Roles &amp; Pricing'!D289</f>
        <v>766000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26" t="s">
        <v>2377</v>
      </c>
      <c r="C41" s="1826"/>
      <c r="D41" s="1826"/>
      <c r="E41" s="1826"/>
      <c r="F41" s="1826"/>
      <c r="G41" s="1826"/>
      <c r="H41" s="1826"/>
      <c r="I41" s="1384"/>
    </row>
    <row r="42" spans="2:15" ht="13.95" customHeight="1" x14ac:dyDescent="0.25">
      <c r="B42" s="1824" t="s">
        <v>3191</v>
      </c>
      <c r="C42" s="1824"/>
      <c r="D42" s="1824"/>
      <c r="E42" s="1824"/>
      <c r="F42" s="1824"/>
      <c r="G42" s="1824"/>
      <c r="H42" s="1824"/>
      <c r="I42" s="1230"/>
    </row>
    <row r="43" spans="2:15" ht="15" customHeight="1" x14ac:dyDescent="0.25">
      <c r="B43" s="1824" t="s">
        <v>2331</v>
      </c>
      <c r="C43" s="1824"/>
      <c r="D43" s="1824"/>
      <c r="E43" s="1824"/>
      <c r="F43" s="1824"/>
      <c r="G43" s="1824"/>
      <c r="H43" s="1824"/>
    </row>
    <row r="44" spans="2:15" ht="15" customHeight="1" x14ac:dyDescent="0.25">
      <c r="B44" s="1729" t="s">
        <v>2326</v>
      </c>
      <c r="C44" s="1729"/>
      <c r="D44" s="1729"/>
      <c r="E44" s="1729"/>
      <c r="F44" s="1729"/>
      <c r="G44" s="1729"/>
      <c r="H44" s="710"/>
      <c r="J44" s="1206"/>
      <c r="K44" s="1206"/>
      <c r="L44" s="1206"/>
      <c r="M44" s="1206"/>
      <c r="N44" s="1206"/>
      <c r="O44" s="1206"/>
    </row>
    <row r="45" spans="2:15" ht="15" customHeight="1" x14ac:dyDescent="0.25">
      <c r="B45" s="1822" t="s">
        <v>3307</v>
      </c>
      <c r="C45" s="1822"/>
      <c r="D45" s="1822"/>
      <c r="E45" s="1822"/>
      <c r="F45" s="1822"/>
      <c r="G45" s="1822"/>
      <c r="H45" s="710"/>
      <c r="J45" s="1206"/>
      <c r="K45" s="1206"/>
      <c r="L45" s="1206"/>
      <c r="M45" s="1206"/>
      <c r="N45" s="1206"/>
      <c r="O45" s="1206"/>
    </row>
    <row r="46" spans="2:15" ht="28.95" customHeight="1" x14ac:dyDescent="0.25">
      <c r="B46" s="1822" t="s">
        <v>3205</v>
      </c>
      <c r="C46" s="1822"/>
      <c r="D46" s="1822"/>
      <c r="E46" s="1822"/>
      <c r="F46" s="1822"/>
      <c r="G46" s="1822"/>
      <c r="H46" s="1822"/>
      <c r="J46" s="1206"/>
      <c r="K46" s="1206"/>
      <c r="L46" s="1206"/>
      <c r="M46" s="1206"/>
      <c r="N46" s="1206"/>
      <c r="O46" s="1206"/>
    </row>
    <row r="47" spans="2:15" ht="15" customHeight="1" x14ac:dyDescent="0.25">
      <c r="B47" s="1823" t="s">
        <v>3192</v>
      </c>
      <c r="C47" s="1823"/>
      <c r="D47" s="1823"/>
      <c r="E47" s="1823"/>
      <c r="F47" s="1823"/>
      <c r="G47" s="1823"/>
      <c r="H47" s="710"/>
      <c r="J47" s="1206"/>
      <c r="K47" s="1206"/>
      <c r="L47" s="1206"/>
      <c r="M47" s="1206"/>
      <c r="N47" s="1206"/>
      <c r="O47" s="1206"/>
    </row>
    <row r="48" spans="2:15" x14ac:dyDescent="0.25">
      <c r="B48" s="1822" t="s">
        <v>2267</v>
      </c>
      <c r="C48" s="1822"/>
      <c r="D48" s="1822"/>
      <c r="E48" s="1822"/>
      <c r="F48" s="1822"/>
      <c r="G48" s="1822"/>
    </row>
    <row r="49" spans="2:9" x14ac:dyDescent="0.25">
      <c r="B49" s="710"/>
      <c r="C49" s="710"/>
      <c r="D49" s="710"/>
      <c r="E49" s="710"/>
      <c r="F49" s="710"/>
    </row>
    <row r="50" spans="2:9" x14ac:dyDescent="0.25">
      <c r="B50" s="1856" t="s">
        <v>2180</v>
      </c>
      <c r="C50" s="1857"/>
      <c r="D50" s="1857"/>
      <c r="E50" s="1858"/>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0.55101827676240211</v>
      </c>
      <c r="C52" s="938">
        <v>0.47</v>
      </c>
      <c r="D52" s="939">
        <f>B52-C52</f>
        <v>8.1018276762402142E-2</v>
      </c>
      <c r="E52" s="940">
        <f>'2. Roles &amp; Pricing'!D289/'2. Roles &amp; Pricing'!M289</f>
        <v>110.37463976945244</v>
      </c>
      <c r="H52" s="562"/>
    </row>
    <row r="53" spans="2:9" x14ac:dyDescent="0.25">
      <c r="B53" s="1855"/>
      <c r="C53" s="1855"/>
      <c r="D53" s="1855"/>
      <c r="E53" s="1855"/>
      <c r="F53" s="1855"/>
      <c r="G53" s="556"/>
      <c r="H53" s="556"/>
    </row>
    <row r="54" spans="2:9" x14ac:dyDescent="0.25">
      <c r="B54" s="1827" t="s">
        <v>2179</v>
      </c>
      <c r="C54" s="1828"/>
      <c r="D54" s="1828"/>
      <c r="E54" s="1828"/>
      <c r="F54" s="1828"/>
      <c r="G54" s="1828"/>
      <c r="H54" s="1828"/>
      <c r="I54" s="1829"/>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1278166.6666666667</v>
      </c>
      <c r="D56" s="1231">
        <f>('4. Summary &amp; Totals'!$C$67)/(1-D55)+'4. Summary &amp; Totals'!$C$68</f>
        <v>1345359.649122807</v>
      </c>
      <c r="E56" s="1231">
        <f>('4. Summary &amp; Totals'!$C$67)/(1-E55)+'4. Summary &amp; Totals'!$C$68</f>
        <v>1394227.2727272727</v>
      </c>
      <c r="F56" s="1231">
        <f>('4. Summary &amp; Totals'!$C$67)/(1-F55)+'4. Summary &amp; Totals'!$C$68</f>
        <v>1533500</v>
      </c>
      <c r="G56" s="1231">
        <f>('4. Summary &amp; Totals'!$C$67)/(1-G55)+'4. Summary &amp; Totals'!$C$68</f>
        <v>1703722.2222222225</v>
      </c>
      <c r="H56" s="1231" t="str">
        <f>IF(H55="Enter Test Margin %","",('4. Summary &amp; Totals'!$C$67)/(1-H55)+'4. Summary &amp; Totals'!$C$68)</f>
        <v/>
      </c>
      <c r="I56" s="1232" t="s">
        <v>3685</v>
      </c>
    </row>
    <row r="57" spans="2:9" x14ac:dyDescent="0.25">
      <c r="B57" s="945" t="s">
        <v>225</v>
      </c>
      <c r="C57" s="1233">
        <f>IFERROR(ROUNDUP((C56/'2. Roles &amp; Pricing'!$M$289),0),"")</f>
        <v>185</v>
      </c>
      <c r="D57" s="1233">
        <f>ROUNDUP(IFERROR(D56/'2. Roles &amp; Pricing'!$M$289,""),0)</f>
        <v>194</v>
      </c>
      <c r="E57" s="1233">
        <f>ROUNDUP(IFERROR(E56/'2. Roles &amp; Pricing'!$M$289,""),0)</f>
        <v>201</v>
      </c>
      <c r="F57" s="1233">
        <f>ROUNDUP(IFERROR(F56/'2. Roles &amp; Pricing'!$M$289,""),0)</f>
        <v>221</v>
      </c>
      <c r="G57" s="1233">
        <f>ROUNDUP(IFERROR(G56/'2. Roles &amp; Pricing'!$M$289,""),0)</f>
        <v>246</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44" t="s">
        <v>3308</v>
      </c>
      <c r="C60" s="1844"/>
      <c r="D60" s="1844"/>
      <c r="E60" s="1844"/>
      <c r="F60" s="1844"/>
      <c r="G60" s="1844"/>
      <c r="H60" s="1844"/>
    </row>
    <row r="61" spans="2:9" x14ac:dyDescent="0.25">
      <c r="B61" s="1706" t="s">
        <v>2330</v>
      </c>
      <c r="C61" s="1706"/>
      <c r="D61" s="1706"/>
      <c r="E61" s="1706"/>
      <c r="F61" s="1706"/>
      <c r="G61" s="1706"/>
    </row>
    <row r="62" spans="2:9" ht="15" customHeight="1" x14ac:dyDescent="0.25">
      <c r="B62" s="1216"/>
      <c r="C62" s="1213"/>
      <c r="D62" s="1213"/>
      <c r="E62" s="1213"/>
      <c r="F62" s="1213"/>
      <c r="G62" s="1213"/>
    </row>
    <row r="63" spans="2:9" x14ac:dyDescent="0.25">
      <c r="B63" s="1846" t="s">
        <v>2181</v>
      </c>
      <c r="C63" s="1847"/>
    </row>
    <row r="64" spans="2:9" x14ac:dyDescent="0.25">
      <c r="B64" s="946" t="s">
        <v>109</v>
      </c>
      <c r="C64" s="947">
        <f>'2. Roles &amp; Pricing'!D289</f>
        <v>766000</v>
      </c>
    </row>
    <row r="65" spans="2:8" x14ac:dyDescent="0.25">
      <c r="B65" s="948" t="s">
        <v>1466</v>
      </c>
      <c r="C65" s="949">
        <v>0.08</v>
      </c>
    </row>
    <row r="66" spans="2:8" x14ac:dyDescent="0.25">
      <c r="B66" s="1142" t="s">
        <v>1467</v>
      </c>
      <c r="C66" s="1143" t="s">
        <v>2170</v>
      </c>
    </row>
    <row r="67" spans="2:8" x14ac:dyDescent="0.25">
      <c r="B67" s="1464" t="s">
        <v>1468</v>
      </c>
      <c r="C67" s="1144">
        <f>IFERROR(IF(C65="Enter Discount %",C66,(C64*C65)),"")</f>
        <v>61280</v>
      </c>
    </row>
    <row r="69" spans="2:8" ht="17.399999999999999" x14ac:dyDescent="0.25">
      <c r="B69" s="859" t="s">
        <v>2332</v>
      </c>
      <c r="C69" s="563"/>
      <c r="D69" s="403"/>
      <c r="E69" s="564"/>
      <c r="F69" s="564"/>
      <c r="G69" s="564"/>
      <c r="H69" s="565"/>
    </row>
    <row r="70" spans="2:8" ht="28.95" customHeight="1" x14ac:dyDescent="0.25">
      <c r="B70" s="1845" t="s">
        <v>2378</v>
      </c>
      <c r="C70" s="1845"/>
      <c r="D70" s="1845"/>
      <c r="E70" s="1845"/>
      <c r="F70" s="1845"/>
      <c r="G70" s="1845"/>
      <c r="H70" s="1845"/>
    </row>
    <row r="71" spans="2:8" ht="15" customHeight="1" x14ac:dyDescent="0.25">
      <c r="B71" s="1216"/>
      <c r="C71" s="1213"/>
      <c r="D71" s="1213"/>
      <c r="E71" s="1213"/>
      <c r="F71" s="1213"/>
      <c r="G71" s="1213"/>
    </row>
    <row r="72" spans="2:8" x14ac:dyDescent="0.25">
      <c r="B72" s="1836" t="s">
        <v>2290</v>
      </c>
      <c r="C72" s="1837"/>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38">
        <f>SUMIFS($C$73:$C$76,$D$73:$D$76,"Yes")</f>
        <v>1500</v>
      </c>
      <c r="D77" s="1839"/>
    </row>
    <row r="78" spans="2:8" x14ac:dyDescent="0.25">
      <c r="B78" s="1530" t="s">
        <v>3313</v>
      </c>
      <c r="C78" s="1840">
        <f>SUMIFS($C$73:$C$76,$D$73:$D$76,"No")</f>
        <v>2000</v>
      </c>
      <c r="D78" s="1841"/>
    </row>
    <row r="79" spans="2:8" x14ac:dyDescent="0.25">
      <c r="B79" s="566"/>
      <c r="C79" s="567"/>
      <c r="D79" s="568"/>
    </row>
    <row r="80" spans="2:8" ht="17.399999999999999" x14ac:dyDescent="0.25">
      <c r="B80" s="859" t="s">
        <v>3225</v>
      </c>
      <c r="C80" s="1465"/>
      <c r="D80" s="563"/>
      <c r="E80" s="564"/>
      <c r="F80" s="564"/>
      <c r="G80" s="564"/>
    </row>
    <row r="81" spans="2:8" x14ac:dyDescent="0.25">
      <c r="B81" s="1845" t="s">
        <v>3309</v>
      </c>
      <c r="C81" s="1845"/>
      <c r="D81" s="1845"/>
      <c r="E81" s="1845"/>
      <c r="F81" s="1845"/>
      <c r="G81" s="1845"/>
      <c r="H81" s="1845"/>
    </row>
    <row r="82" spans="2:8" x14ac:dyDescent="0.25">
      <c r="B82" s="1707" t="s">
        <v>3310</v>
      </c>
      <c r="C82" s="1707"/>
      <c r="D82" s="1707"/>
      <c r="E82" s="1707"/>
      <c r="F82" s="1707"/>
      <c r="G82" s="1707"/>
    </row>
    <row r="83" spans="2:8" ht="15" customHeight="1" x14ac:dyDescent="0.25">
      <c r="B83" s="1216"/>
      <c r="C83" s="1213"/>
      <c r="D83" s="1213"/>
      <c r="E83" s="1213"/>
      <c r="F83" s="1213"/>
      <c r="G83" s="1213"/>
    </row>
    <row r="84" spans="2:8" x14ac:dyDescent="0.25">
      <c r="B84" s="1842" t="s">
        <v>221</v>
      </c>
      <c r="C84" s="1843"/>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45" t="s">
        <v>2335</v>
      </c>
      <c r="C91" s="1845"/>
      <c r="D91" s="1845"/>
      <c r="E91" s="1845"/>
      <c r="F91" s="1845"/>
      <c r="G91" s="1845"/>
      <c r="H91" s="1845"/>
    </row>
    <row r="92" spans="2:8" x14ac:dyDescent="0.25">
      <c r="B92" s="1707" t="s">
        <v>2334</v>
      </c>
      <c r="C92" s="1707"/>
      <c r="D92" s="1707"/>
      <c r="E92" s="1707"/>
      <c r="F92" s="1707"/>
      <c r="G92" s="1707"/>
    </row>
    <row r="93" spans="2:8" ht="15" customHeight="1" x14ac:dyDescent="0.25">
      <c r="B93" s="1216"/>
      <c r="C93" s="1213"/>
      <c r="D93" s="1213"/>
      <c r="E93" s="1213"/>
      <c r="F93" s="1213"/>
      <c r="G93" s="1213"/>
    </row>
    <row r="94" spans="2:8" x14ac:dyDescent="0.25">
      <c r="B94" s="1834" t="s">
        <v>214</v>
      </c>
      <c r="C94" s="1835"/>
    </row>
    <row r="95" spans="2:8" x14ac:dyDescent="0.25">
      <c r="B95" s="1830" t="s">
        <v>2169</v>
      </c>
      <c r="C95" s="1831"/>
    </row>
    <row r="96" spans="2:8" x14ac:dyDescent="0.25">
      <c r="B96" s="1832" t="s">
        <v>2169</v>
      </c>
      <c r="C96" s="1833"/>
    </row>
    <row r="97" spans="2:7" x14ac:dyDescent="0.25">
      <c r="B97" s="1832"/>
      <c r="C97" s="1833"/>
    </row>
    <row r="98" spans="2:7" x14ac:dyDescent="0.25">
      <c r="B98" s="1832"/>
      <c r="C98" s="1833"/>
    </row>
    <row r="99" spans="2:7" x14ac:dyDescent="0.25">
      <c r="B99" s="1832"/>
      <c r="C99" s="1833"/>
    </row>
    <row r="100" spans="2:7" x14ac:dyDescent="0.25">
      <c r="B100" s="1832"/>
      <c r="C100" s="1833"/>
    </row>
    <row r="101" spans="2:7" x14ac:dyDescent="0.25">
      <c r="B101" s="1832"/>
      <c r="C101" s="1833"/>
    </row>
    <row r="102" spans="2:7" x14ac:dyDescent="0.25">
      <c r="B102" s="1853"/>
      <c r="C102" s="1854"/>
    </row>
    <row r="107" spans="2:7" x14ac:dyDescent="0.25">
      <c r="B107" s="1707"/>
      <c r="C107" s="1707"/>
      <c r="D107" s="1707"/>
      <c r="E107" s="1707"/>
      <c r="F107" s="1707"/>
      <c r="G107" s="1707"/>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13"/>
      <c r="K1" s="1713"/>
      <c r="L1" s="1713"/>
    </row>
    <row r="2" spans="2:20" s="469" customFormat="1" ht="25.8" x14ac:dyDescent="0.25">
      <c r="B2" s="1860" t="s">
        <v>3196</v>
      </c>
      <c r="C2" s="1860"/>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62" t="s">
        <v>3282</v>
      </c>
      <c r="C7" s="1862"/>
      <c r="D7" s="1862"/>
      <c r="E7" s="1862"/>
      <c r="F7" s="1862"/>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663" t="s">
        <v>2379</v>
      </c>
      <c r="C10" s="1663"/>
      <c r="D10" s="1663"/>
      <c r="E10" s="1663"/>
      <c r="F10" s="1663"/>
      <c r="H10" s="579"/>
    </row>
    <row r="11" spans="2:20" ht="16.95" customHeight="1" x14ac:dyDescent="0.25">
      <c r="B11" s="1644" t="s">
        <v>2199</v>
      </c>
      <c r="C11" s="1645"/>
      <c r="D11" s="480"/>
      <c r="E11" s="1861"/>
      <c r="F11" s="1861"/>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61"/>
      <c r="F15" s="1861"/>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Honda Web Enhancment</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45891</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45891</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663" t="s">
        <v>2337</v>
      </c>
      <c r="C32" s="1663"/>
      <c r="D32" s="1663"/>
      <c r="E32" s="1663"/>
      <c r="F32" s="1663"/>
      <c r="H32" s="579"/>
    </row>
    <row r="33" spans="2:20" x14ac:dyDescent="0.25">
      <c r="B33" s="1663" t="s">
        <v>3300</v>
      </c>
      <c r="C33" s="1663"/>
      <c r="D33" s="1663"/>
      <c r="E33" s="1663"/>
      <c r="F33" s="1663"/>
      <c r="G33" s="413"/>
      <c r="S33" s="581"/>
      <c r="T33" s="596"/>
    </row>
    <row r="34" spans="2:20" ht="17.399999999999999" x14ac:dyDescent="0.25">
      <c r="B34" s="1235"/>
      <c r="C34" s="599"/>
      <c r="D34" s="413"/>
      <c r="E34" s="594"/>
      <c r="F34" s="594"/>
      <c r="G34" s="413"/>
      <c r="S34" s="581"/>
      <c r="T34" s="596"/>
    </row>
    <row r="35" spans="2:20" x14ac:dyDescent="0.25">
      <c r="B35" s="1644" t="s">
        <v>3209</v>
      </c>
      <c r="C35" s="1645"/>
      <c r="D35" s="413"/>
      <c r="E35" s="594"/>
      <c r="F35" s="594"/>
      <c r="G35" s="413"/>
      <c r="S35" s="581"/>
      <c r="T35" s="596"/>
    </row>
    <row r="36" spans="2:20" x14ac:dyDescent="0.25">
      <c r="B36" s="964" t="s">
        <v>2080</v>
      </c>
      <c r="C36" s="1407">
        <f>C61</f>
        <v>787521</v>
      </c>
      <c r="D36" s="413"/>
      <c r="E36" s="594"/>
      <c r="F36" s="594"/>
      <c r="G36" s="413"/>
      <c r="S36" s="581"/>
      <c r="T36" s="596"/>
    </row>
    <row r="37" spans="2:20" x14ac:dyDescent="0.25">
      <c r="B37" s="963" t="s">
        <v>3227</v>
      </c>
      <c r="C37" s="1408">
        <f>C53</f>
        <v>0.53970619544390042</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663" t="s">
        <v>3186</v>
      </c>
      <c r="C40" s="1663"/>
      <c r="D40" s="1663"/>
      <c r="E40" s="1663"/>
      <c r="F40" s="1663"/>
      <c r="H40" s="579"/>
    </row>
    <row r="41" spans="2:20" x14ac:dyDescent="0.25">
      <c r="B41" s="1663" t="s">
        <v>3283</v>
      </c>
      <c r="C41" s="1663"/>
      <c r="D41" s="1663"/>
      <c r="E41" s="1663"/>
      <c r="F41" s="1663"/>
      <c r="G41" s="413"/>
      <c r="S41" s="581"/>
      <c r="T41" s="596"/>
    </row>
    <row r="42" spans="2:20" ht="30" customHeight="1" x14ac:dyDescent="0.25">
      <c r="B42" s="1742" t="s">
        <v>3194</v>
      </c>
      <c r="C42" s="1742"/>
      <c r="D42" s="1742"/>
      <c r="E42" s="1742"/>
      <c r="F42" s="1742"/>
      <c r="G42" s="413"/>
      <c r="S42" s="581"/>
      <c r="T42" s="596"/>
    </row>
    <row r="43" spans="2:20" ht="17.399999999999999" x14ac:dyDescent="0.25">
      <c r="B43" s="1235"/>
      <c r="C43" s="599"/>
      <c r="D43" s="413"/>
      <c r="E43" s="594"/>
      <c r="F43" s="594"/>
      <c r="G43" s="413"/>
      <c r="S43" s="581"/>
      <c r="T43" s="596"/>
    </row>
    <row r="44" spans="2:20" x14ac:dyDescent="0.25">
      <c r="B44" s="1644" t="s">
        <v>3210</v>
      </c>
      <c r="C44" s="1645"/>
      <c r="D44" s="413"/>
      <c r="E44" s="594"/>
      <c r="F44" s="594"/>
      <c r="G44" s="413"/>
      <c r="S44" s="581"/>
      <c r="T44" s="596"/>
    </row>
    <row r="45" spans="2:20" x14ac:dyDescent="0.25">
      <c r="B45" s="964" t="s">
        <v>2087</v>
      </c>
      <c r="C45" s="1409">
        <f>IF(OR(C23="T&amp;M",C23="T&amp;M NTE"),C60,C61)</f>
        <v>787521</v>
      </c>
      <c r="D45" s="413"/>
      <c r="E45" s="594"/>
      <c r="F45" s="594"/>
      <c r="G45" s="413"/>
      <c r="S45" s="581"/>
      <c r="T45" s="596"/>
    </row>
    <row r="46" spans="2:20" x14ac:dyDescent="0.25">
      <c r="B46" s="961" t="s">
        <v>2088</v>
      </c>
      <c r="C46" s="1410">
        <f>COUNTA('2. Roles &amp; Pricing'!K48:K147)</f>
        <v>6</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718" t="s">
        <v>2309</v>
      </c>
      <c r="C51" s="1718"/>
      <c r="D51" s="1718"/>
      <c r="E51" s="1718"/>
      <c r="F51" s="1718"/>
    </row>
    <row r="52" spans="2:20" ht="19.95" customHeight="1" x14ac:dyDescent="0.25">
      <c r="B52" s="1644" t="s">
        <v>3394</v>
      </c>
      <c r="C52" s="1645"/>
      <c r="E52" s="413"/>
      <c r="J52" s="492"/>
      <c r="K52" s="600"/>
      <c r="L52" s="492"/>
    </row>
    <row r="53" spans="2:20" x14ac:dyDescent="0.25">
      <c r="B53" s="1240" t="s">
        <v>1673</v>
      </c>
      <c r="C53" s="1412">
        <f>IFERROR((C72-C79)/C72,"")</f>
        <v>0.53970619544390042</v>
      </c>
      <c r="E53" s="413"/>
      <c r="J53" s="495"/>
      <c r="K53" s="601"/>
      <c r="L53" s="496"/>
    </row>
    <row r="54" spans="2:20" x14ac:dyDescent="0.25">
      <c r="B54" s="867" t="s">
        <v>111</v>
      </c>
      <c r="C54" s="1413">
        <f>IFERROR('2. Roles &amp; Pricing'!$D$289/'2. Roles &amp; Pricing'!M289,"")</f>
        <v>110.37463976945244</v>
      </c>
      <c r="E54" s="413"/>
      <c r="J54" s="495"/>
      <c r="K54" s="601"/>
      <c r="L54" s="496"/>
    </row>
    <row r="55" spans="2:20" x14ac:dyDescent="0.25">
      <c r="B55" s="1239" t="s">
        <v>2093</v>
      </c>
      <c r="C55" s="1414">
        <f>IFERROR(($C$71+$C$67*(1+C56)),"Enter Contingency % on Summary Inputs")</f>
        <v>811300</v>
      </c>
      <c r="E55" s="602"/>
      <c r="J55" s="495"/>
      <c r="K55" s="601"/>
      <c r="L55" s="496"/>
      <c r="T55" s="603"/>
    </row>
    <row r="56" spans="2:20" ht="13.95" customHeight="1" x14ac:dyDescent="0.25">
      <c r="B56" s="1567" t="s">
        <v>2079</v>
      </c>
      <c r="C56" s="1872">
        <f>'3. Financial Inputs'!C17</f>
        <v>0.05</v>
      </c>
      <c r="E56" s="484"/>
      <c r="J56" s="495"/>
      <c r="K56" s="601"/>
      <c r="L56" s="496"/>
    </row>
    <row r="57" spans="2:20" ht="13.95" customHeight="1" x14ac:dyDescent="0.25">
      <c r="B57" s="1568" t="s">
        <v>3414</v>
      </c>
      <c r="C57" s="1873"/>
      <c r="E57" s="484"/>
      <c r="J57" s="495"/>
      <c r="K57" s="601"/>
      <c r="L57" s="496"/>
    </row>
    <row r="58" spans="2:20" ht="13.95" customHeight="1" x14ac:dyDescent="0.25">
      <c r="B58" s="965" t="s">
        <v>1468</v>
      </c>
      <c r="C58" s="1415">
        <f>IF('3. Financial Inputs'!C67="",0,'3. Financial Inputs'!C67)</f>
        <v>61280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750020</v>
      </c>
      <c r="E60" s="484"/>
      <c r="J60" s="495"/>
      <c r="K60" s="601"/>
      <c r="L60" s="496"/>
      <c r="T60" s="605"/>
    </row>
    <row r="61" spans="2:20" x14ac:dyDescent="0.25">
      <c r="B61" s="1238" t="s">
        <v>2081</v>
      </c>
      <c r="C61" s="1540">
        <f>IFERROR(C60*(1+C56),"Incomplete Project Information")</f>
        <v>787521</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71" t="s">
        <v>3195</v>
      </c>
      <c r="C65" s="1871"/>
      <c r="D65" s="1542"/>
      <c r="E65" s="1542"/>
      <c r="F65" s="1542"/>
      <c r="J65" s="495"/>
      <c r="K65" s="601"/>
      <c r="L65" s="496"/>
      <c r="T65" s="605"/>
    </row>
    <row r="66" spans="2:20" ht="18" customHeight="1" x14ac:dyDescent="0.25">
      <c r="B66" s="1646" t="s">
        <v>3395</v>
      </c>
      <c r="C66" s="1647"/>
      <c r="D66" s="413"/>
      <c r="E66" s="413"/>
      <c r="J66" s="495"/>
      <c r="K66" s="601"/>
      <c r="L66" s="496"/>
      <c r="T66" s="605"/>
    </row>
    <row r="67" spans="2:20" ht="18" customHeight="1" x14ac:dyDescent="0.25">
      <c r="B67" s="966" t="s">
        <v>3320</v>
      </c>
      <c r="C67" s="1417">
        <f>IFERROR('2. Roles &amp; Pricing'!D289,0)</f>
        <v>766000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38300</v>
      </c>
      <c r="D69" s="413"/>
      <c r="E69" s="413"/>
      <c r="J69" s="495"/>
      <c r="K69" s="601"/>
      <c r="L69" s="496"/>
      <c r="T69" s="605"/>
    </row>
    <row r="70" spans="2:20" ht="18" customHeight="1" x14ac:dyDescent="0.25">
      <c r="B70" s="969" t="s">
        <v>1468</v>
      </c>
      <c r="C70" s="1420">
        <f>-1*'3. Financial Inputs'!C67</f>
        <v>-61280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751520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71" t="s">
        <v>3195</v>
      </c>
      <c r="C75" s="1871"/>
      <c r="D75" s="1542"/>
      <c r="E75" s="1542"/>
      <c r="F75" s="1542"/>
      <c r="J75" s="495"/>
      <c r="K75" s="601"/>
      <c r="L75" s="496"/>
    </row>
    <row r="76" spans="2:20" x14ac:dyDescent="0.25">
      <c r="B76" s="1646" t="s">
        <v>3316</v>
      </c>
      <c r="C76" s="1647"/>
      <c r="D76" s="413"/>
      <c r="E76" s="413"/>
      <c r="J76" s="495"/>
      <c r="K76" s="601"/>
      <c r="L76" s="496"/>
    </row>
    <row r="77" spans="2:20" x14ac:dyDescent="0.25">
      <c r="B77" s="967" t="s">
        <v>239</v>
      </c>
      <c r="C77" s="1418">
        <f>SUM('2. Roles &amp; Pricing'!$F$291:$F$390)</f>
        <v>343920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345920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70"/>
      <c r="C83" s="1870"/>
      <c r="D83" s="1870"/>
      <c r="E83" s="1870"/>
      <c r="F83" s="1870"/>
      <c r="L83" s="412"/>
    </row>
    <row r="84" spans="2:12" x14ac:dyDescent="0.25">
      <c r="B84" s="1863" t="s">
        <v>188</v>
      </c>
      <c r="C84" s="1864"/>
      <c r="E84" s="429"/>
      <c r="L84" s="412"/>
    </row>
    <row r="85" spans="2:12" x14ac:dyDescent="0.25">
      <c r="B85" s="1148" t="s">
        <v>190</v>
      </c>
      <c r="C85" s="1463">
        <f>IFERROR((SUMIF('2. Roles &amp; Pricing'!W48:W147,"Offshore",'2. Roles &amp; Pricing'!D291:D390))/SUMIF('2. Roles &amp; Pricing'!W48:W147,"Offshore",'2. Roles &amp; Pricing'!M291:M390),"")</f>
        <v>48.684210526315788</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0.5</v>
      </c>
      <c r="E87" s="429"/>
      <c r="L87" s="412"/>
    </row>
    <row r="88" spans="2:12" x14ac:dyDescent="0.25">
      <c r="B88" s="1149" t="s">
        <v>111</v>
      </c>
      <c r="C88" s="1422">
        <f>IFERROR('2. Roles &amp; Pricing'!D289/'2. Roles &amp; Pricing'!M289,"")</f>
        <v>110.37463976945244</v>
      </c>
      <c r="E88" s="429"/>
      <c r="L88" s="412"/>
    </row>
    <row r="89" spans="2:12" x14ac:dyDescent="0.25">
      <c r="B89" s="1149" t="s">
        <v>194</v>
      </c>
      <c r="C89" s="1424">
        <f>COUNTIF('2. Roles &amp; Pricing'!$Y48:$Y147,"&gt;=21")</f>
        <v>6</v>
      </c>
      <c r="E89" s="429"/>
      <c r="L89" s="412"/>
    </row>
    <row r="90" spans="2:12" x14ac:dyDescent="0.25">
      <c r="B90" s="1149" t="s">
        <v>195</v>
      </c>
      <c r="C90" s="1424">
        <f>COUNTIFS('2. Roles &amp; Pricing'!Y48:Y147,"&lt;=20")</f>
        <v>1</v>
      </c>
      <c r="E90" s="429"/>
      <c r="L90" s="412"/>
    </row>
    <row r="91" spans="2:12" x14ac:dyDescent="0.25">
      <c r="B91" s="1149" t="s">
        <v>196</v>
      </c>
      <c r="C91" s="1425">
        <f>'2. Roles &amp; Pricing'!M289</f>
        <v>6940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6</v>
      </c>
      <c r="E93" s="429"/>
      <c r="L93" s="412"/>
    </row>
    <row r="94" spans="2:12" x14ac:dyDescent="0.25">
      <c r="E94" s="429"/>
      <c r="L94" s="412"/>
    </row>
    <row r="95" spans="2:12" x14ac:dyDescent="0.25">
      <c r="E95" s="429"/>
      <c r="L95" s="412"/>
    </row>
    <row r="96" spans="2:12" x14ac:dyDescent="0.25">
      <c r="B96" s="1646" t="s">
        <v>199</v>
      </c>
      <c r="C96" s="1869"/>
      <c r="D96" s="1869"/>
      <c r="E96" s="1869"/>
      <c r="F96" s="1647"/>
      <c r="H96" s="1868"/>
      <c r="I96" s="1868"/>
      <c r="J96" s="1868"/>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6640</v>
      </c>
      <c r="D99" s="1429">
        <f>IFERROR(C99/'2. Roles &amp; Pricing'!$M$289,"")</f>
        <v>0.95677233429394815</v>
      </c>
      <c r="E99" s="1433">
        <f>SUMIF('2. Roles &amp; Pricing'!$C$48:$C$147,"TADIndia",'2. Roles &amp; Pricing'!$D$291:$D$390)+SUMIF('2. Roles &amp; Pricing'!$C$48:$C$147,"TADNorthAmerica",'2. Roles &amp; Pricing'!$D$291:$D$390)</f>
        <v>766000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5" t="s">
        <v>226</v>
      </c>
      <c r="C107" s="1866"/>
      <c r="D107" s="1867"/>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300</v>
      </c>
      <c r="D109" s="1445">
        <f>IFERROR(C109/'2. Roles &amp; Pricing'!$M$289,"")</f>
        <v>4.3227665706051875E-2</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5440</v>
      </c>
      <c r="D111" s="1447">
        <f>IFERROR(C111/'2. Roles &amp; Pricing'!$M$289,"")</f>
        <v>0.78386167146974062</v>
      </c>
      <c r="E111" s="612"/>
      <c r="F111" s="613"/>
      <c r="H111" s="458"/>
      <c r="I111" s="496"/>
      <c r="J111" s="508"/>
    </row>
    <row r="112" spans="2:10" x14ac:dyDescent="0.25">
      <c r="B112" s="978" t="s">
        <v>114</v>
      </c>
      <c r="C112" s="1446">
        <f>IFERROR(SUMIF('2. Roles &amp; Pricing'!$N$48:$N$147,3,'2. Roles &amp; Pricing'!$M$291:$M$390),"")</f>
        <v>1200</v>
      </c>
      <c r="D112" s="1447">
        <f>IFERROR(C112/'2. Roles &amp; Pricing'!$M$289,"")</f>
        <v>0.1729106628242075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0</v>
      </c>
      <c r="D114" s="1447">
        <f>IFERROR(C114/'2. Roles &amp; Pricing'!$M$289,"")</f>
        <v>0</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46" t="s">
        <v>2161</v>
      </c>
      <c r="D13" s="1647"/>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46" t="s">
        <v>2182</v>
      </c>
      <c r="D19" s="1869"/>
      <c r="E19" s="1647"/>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715" t="s">
        <v>0</v>
      </c>
      <c r="J2" s="1719"/>
      <c r="K2" s="1940"/>
      <c r="L2" s="622" t="s">
        <v>2241</v>
      </c>
      <c r="P2" s="745"/>
      <c r="Q2" s="745"/>
      <c r="R2" s="469"/>
      <c r="S2" s="469"/>
    </row>
    <row r="3" spans="2:19" s="744" customFormat="1" ht="41.4" x14ac:dyDescent="0.25">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2" t="s">
        <v>3684</v>
      </c>
      <c r="C6" s="1952"/>
      <c r="D6" s="1952"/>
      <c r="E6" s="1597"/>
      <c r="F6" s="1597"/>
      <c r="J6" s="1598"/>
      <c r="P6" s="852"/>
      <c r="Q6" s="852"/>
    </row>
    <row r="7" spans="2:19" s="407" customFormat="1" ht="15" customHeight="1" x14ac:dyDescent="0.25">
      <c r="B7" s="1950" t="s">
        <v>3686</v>
      </c>
      <c r="C7" s="1950"/>
      <c r="D7" s="1950"/>
      <c r="E7" s="1950"/>
      <c r="F7" s="1950"/>
      <c r="G7" s="1950"/>
      <c r="H7" s="1950"/>
      <c r="I7" s="1950"/>
      <c r="J7" s="1950"/>
      <c r="P7" s="852"/>
      <c r="Q7" s="852"/>
      <c r="R7" s="406"/>
      <c r="S7" s="406"/>
    </row>
    <row r="8" spans="2:19" s="407" customFormat="1" ht="25.95" customHeight="1" x14ac:dyDescent="0.25">
      <c r="B8" s="1950"/>
      <c r="C8" s="1950"/>
      <c r="D8" s="1950"/>
      <c r="E8" s="1950"/>
      <c r="F8" s="1950"/>
      <c r="G8" s="1950"/>
      <c r="H8" s="1950"/>
      <c r="I8" s="1950"/>
      <c r="J8" s="1950"/>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1" t="s">
        <v>3284</v>
      </c>
      <c r="C11" s="1951"/>
      <c r="D11" s="1951"/>
      <c r="E11" s="444"/>
      <c r="F11" s="444"/>
    </row>
    <row r="12" spans="2:19" x14ac:dyDescent="0.25">
      <c r="B12" s="1949" t="s">
        <v>2288</v>
      </c>
      <c r="C12" s="1897"/>
      <c r="D12" s="1897"/>
      <c r="E12" s="1897"/>
      <c r="F12" s="1898"/>
      <c r="G12" s="1551"/>
      <c r="H12" s="1551"/>
      <c r="I12" s="1551"/>
      <c r="J12" s="1551"/>
    </row>
    <row r="13" spans="2:19" s="411" customFormat="1" x14ac:dyDescent="0.25">
      <c r="B13" s="873" t="s">
        <v>1304</v>
      </c>
      <c r="C13" s="1938" t="str">
        <f>'1. Project Inputs'!C18</f>
        <v>C Spire</v>
      </c>
      <c r="D13" s="1938"/>
      <c r="E13" s="1938"/>
      <c r="F13" s="1939"/>
      <c r="M13" s="1931"/>
      <c r="N13" s="1931"/>
      <c r="P13" s="632"/>
      <c r="Q13" s="632"/>
      <c r="R13" s="395"/>
      <c r="S13" s="395"/>
    </row>
    <row r="14" spans="2:19" s="411" customFormat="1" x14ac:dyDescent="0.25">
      <c r="B14" s="869" t="s">
        <v>1886</v>
      </c>
      <c r="C14" s="1932" t="s">
        <v>4</v>
      </c>
      <c r="D14" s="1932"/>
      <c r="E14" s="1932"/>
      <c r="F14" s="1933"/>
      <c r="M14" s="476"/>
      <c r="N14" s="476"/>
      <c r="O14" s="632"/>
      <c r="P14" s="395"/>
      <c r="Q14" s="395"/>
    </row>
    <row r="15" spans="2:19" s="411" customFormat="1" x14ac:dyDescent="0.25">
      <c r="B15" s="869" t="s">
        <v>1888</v>
      </c>
      <c r="C15" s="1932" t="s">
        <v>4</v>
      </c>
      <c r="D15" s="1932"/>
      <c r="E15" s="1932"/>
      <c r="F15" s="1933"/>
      <c r="M15" s="476"/>
      <c r="N15" s="476"/>
      <c r="P15" s="632"/>
      <c r="Q15" s="632"/>
      <c r="R15" s="395"/>
      <c r="S15" s="395"/>
    </row>
    <row r="16" spans="2:19" s="411" customFormat="1" x14ac:dyDescent="0.25">
      <c r="B16" s="869" t="s">
        <v>22</v>
      </c>
      <c r="C16" s="1934" t="str">
        <f>'1. Project Inputs'!C23</f>
        <v>Honda Web Enhancment</v>
      </c>
      <c r="D16" s="1934"/>
      <c r="E16" s="1934"/>
      <c r="F16" s="1935"/>
      <c r="M16" s="476"/>
      <c r="N16" s="476"/>
      <c r="P16" s="632"/>
      <c r="Q16" s="632"/>
      <c r="R16" s="395"/>
      <c r="S16" s="395"/>
    </row>
    <row r="17" spans="2:19" s="411" customFormat="1" x14ac:dyDescent="0.25">
      <c r="B17" s="869" t="s">
        <v>23</v>
      </c>
      <c r="C17" s="1936" t="str">
        <f>'1. Project Inputs'!C24</f>
        <v>Digital - Systems Implementation</v>
      </c>
      <c r="D17" s="1936"/>
      <c r="E17" s="1936"/>
      <c r="F17" s="1937"/>
      <c r="P17" s="632"/>
      <c r="Q17" s="632"/>
      <c r="R17" s="395"/>
      <c r="S17" s="395"/>
    </row>
    <row r="18" spans="2:19" s="411" customFormat="1" x14ac:dyDescent="0.25">
      <c r="B18" s="869" t="s">
        <v>49</v>
      </c>
      <c r="C18" s="1936" t="str">
        <f>'1. Project Inputs'!C25</f>
        <v>Standard Rates</v>
      </c>
      <c r="D18" s="1936"/>
      <c r="E18" s="1936"/>
      <c r="F18" s="1937"/>
      <c r="P18" s="632"/>
      <c r="Q18" s="632"/>
      <c r="R18" s="395"/>
      <c r="S18" s="395"/>
    </row>
    <row r="19" spans="2:19" s="411" customFormat="1" x14ac:dyDescent="0.25">
      <c r="B19" s="869" t="s">
        <v>1890</v>
      </c>
      <c r="C19" s="1941">
        <f>'1. Project Inputs'!C27</f>
        <v>45891</v>
      </c>
      <c r="D19" s="1941"/>
      <c r="E19" s="1941"/>
      <c r="F19" s="1942"/>
      <c r="P19" s="632"/>
      <c r="Q19" s="632"/>
      <c r="R19" s="395"/>
      <c r="S19" s="395"/>
    </row>
    <row r="20" spans="2:19" s="411" customFormat="1" x14ac:dyDescent="0.25">
      <c r="B20" s="876" t="s">
        <v>50</v>
      </c>
      <c r="C20" s="1943">
        <f>'1. Project Inputs'!C29</f>
        <v>30</v>
      </c>
      <c r="D20" s="1944"/>
      <c r="E20" s="1944"/>
      <c r="F20" s="1945"/>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6" t="s">
        <v>2394</v>
      </c>
      <c r="C23" s="1946"/>
      <c r="D23" s="1946"/>
      <c r="E23" s="1946"/>
      <c r="F23" s="1946"/>
      <c r="G23" s="1946"/>
      <c r="H23" s="1946"/>
      <c r="I23" s="1946"/>
      <c r="J23" s="1946"/>
    </row>
    <row r="24" spans="2:19" ht="22.05" customHeight="1" x14ac:dyDescent="0.25">
      <c r="B24" s="1611" t="s">
        <v>2370</v>
      </c>
      <c r="C24" s="1893" t="s">
        <v>1892</v>
      </c>
      <c r="D24" s="1894"/>
      <c r="E24" s="1894"/>
      <c r="F24" s="1894"/>
      <c r="G24" s="1894"/>
      <c r="H24" s="1895"/>
      <c r="I24" s="1612" t="s">
        <v>3682</v>
      </c>
      <c r="J24" s="1612" t="s">
        <v>1893</v>
      </c>
      <c r="K24" s="1613"/>
      <c r="L24" s="1614"/>
      <c r="S24" s="754"/>
    </row>
    <row r="25" spans="2:19" ht="22.05" customHeight="1" x14ac:dyDescent="0.25">
      <c r="B25" s="1605" t="s">
        <v>1894</v>
      </c>
      <c r="C25" s="1929"/>
      <c r="D25" s="1929"/>
      <c r="E25" s="1929"/>
      <c r="F25" s="1929"/>
      <c r="G25" s="1593"/>
      <c r="H25" s="1593"/>
      <c r="I25" s="1593"/>
      <c r="J25" s="1593"/>
      <c r="K25" s="1593"/>
      <c r="L25" s="1606"/>
      <c r="S25" s="412"/>
    </row>
    <row r="26" spans="2:19" ht="19.95" customHeight="1" x14ac:dyDescent="0.25">
      <c r="B26" s="998" t="s">
        <v>109</v>
      </c>
      <c r="C26" s="1974">
        <f>'4. Summary &amp; Totals'!C61</f>
        <v>787521</v>
      </c>
      <c r="D26" s="1975"/>
      <c r="E26" s="1975"/>
      <c r="F26" s="1975"/>
      <c r="G26" s="1975"/>
      <c r="H26" s="1976"/>
      <c r="I26" s="1601"/>
      <c r="J26" s="1987"/>
      <c r="K26" s="1987"/>
      <c r="L26" s="1988"/>
    </row>
    <row r="27" spans="2:19" ht="19.95" customHeight="1" x14ac:dyDescent="0.25">
      <c r="B27" s="999" t="s">
        <v>1673</v>
      </c>
      <c r="C27" s="1977">
        <f>'4. Summary &amp; Totals'!C37</f>
        <v>0.53970619544390042</v>
      </c>
      <c r="D27" s="1978"/>
      <c r="E27" s="1978"/>
      <c r="F27" s="1978"/>
      <c r="G27" s="1978"/>
      <c r="H27" s="1979"/>
      <c r="I27" s="1599"/>
      <c r="J27" s="1966"/>
      <c r="K27" s="1966"/>
      <c r="L27" s="1967"/>
    </row>
    <row r="28" spans="2:19" ht="19.95" customHeight="1" x14ac:dyDescent="0.25">
      <c r="B28" s="999" t="s">
        <v>3400</v>
      </c>
      <c r="C28" s="1980" t="s">
        <v>3687</v>
      </c>
      <c r="D28" s="1981"/>
      <c r="E28" s="1981"/>
      <c r="F28" s="1981"/>
      <c r="G28" s="1981"/>
      <c r="H28" s="1982"/>
      <c r="I28" s="1599"/>
      <c r="J28" s="1966"/>
      <c r="K28" s="1966"/>
      <c r="L28" s="1967"/>
    </row>
    <row r="29" spans="2:19" ht="19.95" customHeight="1" x14ac:dyDescent="0.25">
      <c r="B29" s="1547"/>
      <c r="C29" s="1983" t="s">
        <v>1895</v>
      </c>
      <c r="D29" s="1984"/>
      <c r="E29" s="1984"/>
      <c r="F29" s="1985"/>
      <c r="G29" s="1983" t="s">
        <v>1896</v>
      </c>
      <c r="H29" s="1986"/>
      <c r="I29" s="1600"/>
      <c r="J29" s="1966"/>
      <c r="K29" s="1966"/>
      <c r="L29" s="1967"/>
    </row>
    <row r="30" spans="2:19" ht="19.95" customHeight="1" x14ac:dyDescent="0.25">
      <c r="B30" s="999" t="s">
        <v>1897</v>
      </c>
      <c r="C30" s="1885">
        <f>'4. Summary &amp; Totals'!C54</f>
        <v>110.37463976945244</v>
      </c>
      <c r="D30" s="1886"/>
      <c r="E30" s="1886"/>
      <c r="F30" s="1887"/>
      <c r="G30" s="1881">
        <f>'2. Roles &amp; Pricing'!F289/'2. Roles &amp; Pricing'!M289</f>
        <v>49.556195965417871</v>
      </c>
      <c r="H30" s="1882"/>
      <c r="I30" s="1599" t="str">
        <f>IF(OR(C30="",E30=""),"MISSING INFO","")</f>
        <v>MISSING INFO</v>
      </c>
      <c r="J30" s="1966"/>
      <c r="K30" s="1966"/>
      <c r="L30" s="1967"/>
    </row>
    <row r="31" spans="2:19" ht="19.95" customHeight="1" x14ac:dyDescent="0.25">
      <c r="B31" s="999" t="s">
        <v>1898</v>
      </c>
      <c r="C31" s="1885">
        <f>'4. Summary &amp; Totals'!C86</f>
        <v>171.66666666666666</v>
      </c>
      <c r="D31" s="1886"/>
      <c r="E31" s="1886"/>
      <c r="F31" s="1887"/>
      <c r="G31" s="1881">
        <f>SUMIFS('2. Roles &amp; Pricing'!$F$291:$F$390,'2. Roles &amp; Pricing'!$W$48:$W$147,"Onshore")/SUMIFS('2. Roles &amp; Pricing'!$M$291:$M$390,'2. Roles &amp; Pricing'!$W$48:$W$147,"Onshore")</f>
        <v>81.666666666666671</v>
      </c>
      <c r="H31" s="1882"/>
      <c r="I31" s="1599" t="str">
        <f>IF(OR(C31="",E31=""),"MISSING INFO","")</f>
        <v>MISSING INFO</v>
      </c>
      <c r="J31" s="1966"/>
      <c r="K31" s="1966"/>
      <c r="L31" s="1967"/>
    </row>
    <row r="32" spans="2:19" ht="19.95" customHeight="1" x14ac:dyDescent="0.25">
      <c r="B32" s="1000" t="s">
        <v>1899</v>
      </c>
      <c r="C32" s="1888">
        <f>'4. Summary &amp; Totals'!C85</f>
        <v>48.684210526315788</v>
      </c>
      <c r="D32" s="1889"/>
      <c r="E32" s="1889"/>
      <c r="F32" s="1890"/>
      <c r="G32" s="1883">
        <f>IFERROR(SUMIFS('2. Roles &amp; Pricing'!$F$291:$F$390,'2. Roles &amp; Pricing'!$W$48:$W$147,"Offshore")/SUMIFS('2. Roles &amp; Pricing'!$M$291:$M$390,'2. Roles &amp; Pricing'!$W$48:$W$147,"Offshore"),"")</f>
        <v>16.421052631578949</v>
      </c>
      <c r="H32" s="1884"/>
      <c r="I32" s="1602"/>
      <c r="J32" s="1891"/>
      <c r="K32" s="1891"/>
      <c r="L32" s="1892"/>
    </row>
    <row r="33" spans="2:12" x14ac:dyDescent="0.25">
      <c r="B33" s="1001"/>
      <c r="C33" s="1001"/>
      <c r="D33" s="1001"/>
      <c r="E33" s="1001"/>
      <c r="F33" s="1001"/>
      <c r="G33" s="1002"/>
      <c r="H33" s="1003"/>
      <c r="I33" s="1003"/>
      <c r="J33" s="1003"/>
    </row>
    <row r="34" spans="2:12" ht="22.05" customHeight="1" x14ac:dyDescent="0.25">
      <c r="B34" s="1910" t="s">
        <v>1900</v>
      </c>
      <c r="C34" s="1919"/>
      <c r="D34" s="1919"/>
      <c r="E34" s="1919"/>
      <c r="F34" s="1919"/>
      <c r="G34" s="1919"/>
      <c r="H34" s="1919"/>
      <c r="I34" s="1930"/>
      <c r="J34" s="1896"/>
      <c r="K34" s="1897"/>
      <c r="L34" s="1898"/>
    </row>
    <row r="35" spans="2:12" ht="22.05" customHeight="1" x14ac:dyDescent="0.25">
      <c r="B35" s="1603" t="s">
        <v>1901</v>
      </c>
      <c r="C35" s="1923" t="str">
        <f>'1. Project Inputs'!C28</f>
        <v>T&amp;M</v>
      </c>
      <c r="D35" s="1924"/>
      <c r="E35" s="1924"/>
      <c r="F35" s="1924"/>
      <c r="G35" s="1924"/>
      <c r="H35" s="1925"/>
      <c r="I35" s="1604" t="str">
        <f>IFERROR(IF(VLOOKUP(C35,P75:R78,3,0)=0,"",VLOOKUP(C35,P75:R78,3,0)),"MISSING INFO")</f>
        <v>MISSING INFO</v>
      </c>
      <c r="J35" s="1899"/>
      <c r="K35" s="1900"/>
      <c r="L35" s="1901"/>
    </row>
    <row r="36" spans="2:12" ht="22.05" customHeight="1" x14ac:dyDescent="0.25">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25">
      <c r="B37" s="751"/>
      <c r="C37" s="751"/>
      <c r="D37" s="751"/>
      <c r="E37" s="751"/>
      <c r="F37" s="751"/>
      <c r="G37" s="752"/>
      <c r="H37" s="753"/>
      <c r="I37" s="753"/>
      <c r="J37" s="753"/>
    </row>
    <row r="38" spans="2:12" ht="24" customHeight="1" x14ac:dyDescent="0.25">
      <c r="B38" s="1971" t="s">
        <v>1903</v>
      </c>
      <c r="C38" s="1972"/>
      <c r="D38" s="1972"/>
      <c r="E38" s="1972"/>
      <c r="F38" s="1972"/>
      <c r="G38" s="1972"/>
      <c r="H38" s="1972"/>
      <c r="I38" s="1972"/>
      <c r="J38" s="1972"/>
      <c r="K38" s="1972"/>
      <c r="L38" s="1912"/>
    </row>
    <row r="39" spans="2:12" ht="25.05" customHeight="1" x14ac:dyDescent="0.25">
      <c r="B39" s="998" t="s">
        <v>1904</v>
      </c>
      <c r="C39" s="1989">
        <f>COUNTA('2. Roles &amp; Pricing'!$K$48:$K$147)</f>
        <v>6</v>
      </c>
      <c r="D39" s="1990"/>
      <c r="E39" s="1990"/>
      <c r="F39" s="1990"/>
      <c r="G39" s="1990"/>
      <c r="H39" s="1991"/>
      <c r="I39" s="1005" t="str">
        <f>IF(G39="","MISSING INFO","")</f>
        <v>MISSING INFO</v>
      </c>
      <c r="J39" s="1998"/>
      <c r="K39" s="1987"/>
      <c r="L39" s="1988"/>
    </row>
    <row r="40" spans="2:12" ht="30" customHeight="1" x14ac:dyDescent="0.25">
      <c r="B40" s="999" t="s">
        <v>1905</v>
      </c>
      <c r="C40" s="1992" t="s">
        <v>216</v>
      </c>
      <c r="D40" s="1993"/>
      <c r="E40" s="1993"/>
      <c r="F40" s="1993"/>
      <c r="G40" s="1993"/>
      <c r="H40" s="1994"/>
      <c r="I40" s="997" t="str">
        <f>IFERROR(IF(VLOOKUP(C40,P82:R83,3,0)=0,"",VLOOKUP(C40,P82:R83,3,0)),"MISSING INFO")</f>
        <v>MISSING INFO</v>
      </c>
      <c r="J40" s="1965"/>
      <c r="K40" s="1966"/>
      <c r="L40" s="1967"/>
    </row>
    <row r="41" spans="2:12" ht="14.55" customHeight="1" x14ac:dyDescent="0.25">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25">
      <c r="B42" s="1006"/>
      <c r="C42" s="1904" t="s">
        <v>3401</v>
      </c>
      <c r="D42" s="1905"/>
      <c r="E42" s="1906" t="s">
        <v>119</v>
      </c>
      <c r="F42" s="1907"/>
      <c r="G42" s="1908" t="s">
        <v>1929</v>
      </c>
      <c r="H42" s="1909"/>
      <c r="I42" s="1555"/>
      <c r="J42" s="1965"/>
      <c r="K42" s="1966"/>
      <c r="L42" s="1967"/>
    </row>
    <row r="43" spans="2:12" ht="21" customHeight="1" x14ac:dyDescent="0.25">
      <c r="B43" s="1006"/>
      <c r="C43" s="1557" t="s">
        <v>2101</v>
      </c>
      <c r="D43" s="1557" t="s">
        <v>3402</v>
      </c>
      <c r="E43" s="1557" t="s">
        <v>2101</v>
      </c>
      <c r="F43" s="1557" t="s">
        <v>3402</v>
      </c>
      <c r="G43" s="1557" t="s">
        <v>2101</v>
      </c>
      <c r="H43" s="1557" t="s">
        <v>3402</v>
      </c>
      <c r="I43" s="1555"/>
      <c r="J43" s="1965"/>
      <c r="K43" s="1966"/>
      <c r="L43" s="1967"/>
    </row>
    <row r="44" spans="2:12" ht="21" customHeight="1" x14ac:dyDescent="0.25">
      <c r="B44" s="999" t="s">
        <v>1908</v>
      </c>
      <c r="C44" s="1557"/>
      <c r="D44" s="1557"/>
      <c r="E44" s="1557"/>
      <c r="F44" s="1557"/>
      <c r="G44" s="1557"/>
      <c r="H44" s="1557"/>
      <c r="I44" s="1555"/>
      <c r="J44" s="1965"/>
      <c r="K44" s="1966"/>
      <c r="L44" s="1967"/>
    </row>
    <row r="45" spans="2:12" ht="21" customHeight="1" x14ac:dyDescent="0.25">
      <c r="B45" s="999" t="s">
        <v>3403</v>
      </c>
      <c r="C45" s="1557"/>
      <c r="D45" s="1557"/>
      <c r="E45" s="1557"/>
      <c r="F45" s="1557"/>
      <c r="G45" s="1557"/>
      <c r="H45" s="1557"/>
      <c r="I45" s="1555"/>
      <c r="J45" s="1965"/>
      <c r="K45" s="1966"/>
      <c r="L45" s="1967"/>
    </row>
    <row r="46" spans="2:12" ht="21" customHeight="1" x14ac:dyDescent="0.25">
      <c r="B46" s="999" t="s">
        <v>3404</v>
      </c>
      <c r="C46" s="1557"/>
      <c r="D46" s="1557"/>
      <c r="E46" s="1557"/>
      <c r="F46" s="1557"/>
      <c r="G46" s="1557"/>
      <c r="H46" s="1557"/>
      <c r="I46" s="1555"/>
      <c r="J46" s="1965"/>
      <c r="K46" s="1966"/>
      <c r="L46" s="1967"/>
    </row>
    <row r="47" spans="2:12" ht="21" customHeight="1" x14ac:dyDescent="0.25">
      <c r="B47" s="999" t="s">
        <v>3405</v>
      </c>
      <c r="C47" s="1552"/>
      <c r="D47" s="1552"/>
      <c r="E47" s="1552"/>
      <c r="F47" s="1552"/>
      <c r="G47" s="1553"/>
      <c r="H47" s="1554"/>
      <c r="I47" s="1555"/>
      <c r="J47" s="1965"/>
      <c r="K47" s="1966"/>
      <c r="L47" s="1967"/>
    </row>
    <row r="48" spans="2:12" ht="21" customHeight="1" x14ac:dyDescent="0.25">
      <c r="B48" s="999" t="s">
        <v>3406</v>
      </c>
      <c r="C48" s="1552"/>
      <c r="D48" s="1552"/>
      <c r="E48" s="1552"/>
      <c r="F48" s="1552"/>
      <c r="G48" s="1553"/>
      <c r="H48" s="1554"/>
      <c r="I48" s="1555"/>
      <c r="J48" s="1965"/>
      <c r="K48" s="1966"/>
      <c r="L48" s="1967"/>
    </row>
    <row r="49" spans="2:12" ht="21" customHeight="1" x14ac:dyDescent="0.25">
      <c r="B49" s="999" t="s">
        <v>3407</v>
      </c>
      <c r="C49" s="1552"/>
      <c r="D49" s="1552"/>
      <c r="E49" s="1552"/>
      <c r="F49" s="1552"/>
      <c r="G49" s="1553"/>
      <c r="H49" s="1554"/>
      <c r="I49" s="1555"/>
      <c r="J49" s="1965"/>
      <c r="K49" s="1966"/>
      <c r="L49" s="1967"/>
    </row>
    <row r="50" spans="2:12" ht="45" customHeight="1" x14ac:dyDescent="0.25">
      <c r="B50" s="1000" t="s">
        <v>3408</v>
      </c>
      <c r="C50" s="1548"/>
      <c r="D50" s="1548"/>
      <c r="E50" s="1548"/>
      <c r="F50" s="1548"/>
      <c r="G50" s="1961"/>
      <c r="H50" s="1961"/>
      <c r="I50" s="1556"/>
      <c r="J50" s="1973"/>
      <c r="K50" s="1891"/>
      <c r="L50" s="1892"/>
    </row>
    <row r="51" spans="2:12" x14ac:dyDescent="0.25">
      <c r="B51" s="411"/>
      <c r="C51" s="411"/>
      <c r="D51" s="411"/>
      <c r="E51" s="411"/>
      <c r="F51" s="411"/>
      <c r="G51" s="411"/>
      <c r="H51" s="411"/>
      <c r="I51" s="411"/>
      <c r="J51" s="411"/>
    </row>
    <row r="52" spans="2:12" ht="24" customHeight="1" x14ac:dyDescent="0.25">
      <c r="B52" s="1910" t="s">
        <v>1909</v>
      </c>
      <c r="C52" s="1919"/>
      <c r="D52" s="1919"/>
      <c r="E52" s="1919"/>
      <c r="F52" s="1920"/>
      <c r="G52" s="1559"/>
      <c r="H52" s="1559"/>
      <c r="I52" s="1559"/>
      <c r="J52" s="1559"/>
    </row>
    <row r="53" spans="2:12" ht="45" customHeight="1" x14ac:dyDescent="0.25">
      <c r="B53" s="998" t="s">
        <v>1910</v>
      </c>
      <c r="C53" s="1913" t="s">
        <v>216</v>
      </c>
      <c r="D53" s="1914"/>
      <c r="E53" s="1914"/>
      <c r="F53" s="1915"/>
      <c r="G53" s="1560"/>
      <c r="H53" s="1560"/>
      <c r="I53" s="1561"/>
      <c r="J53" s="1562"/>
    </row>
    <row r="54" spans="2:12" ht="45" customHeight="1" x14ac:dyDescent="0.25">
      <c r="B54" s="1000" t="s">
        <v>1911</v>
      </c>
      <c r="C54" s="1916" t="s">
        <v>216</v>
      </c>
      <c r="D54" s="1917"/>
      <c r="E54" s="1917"/>
      <c r="F54" s="1918"/>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10" t="s">
        <v>1912</v>
      </c>
      <c r="C56" s="1911"/>
      <c r="D56" s="1911"/>
      <c r="E56" s="1911"/>
      <c r="F56" s="1911"/>
      <c r="G56" s="1912"/>
      <c r="H56" s="1559"/>
      <c r="I56" s="1559"/>
      <c r="J56" s="1559"/>
    </row>
    <row r="57" spans="2:12" ht="30" customHeight="1" x14ac:dyDescent="0.25">
      <c r="B57" s="1558" t="s">
        <v>1913</v>
      </c>
      <c r="C57" s="1921" t="s">
        <v>2297</v>
      </c>
      <c r="D57" s="1922"/>
      <c r="E57" s="1922"/>
      <c r="F57" s="1922"/>
      <c r="G57" s="1564" t="str">
        <f>IFERROR(IF(VLOOKUP(C57,P102:R103,3,0)=0,"",VLOOKUP(C57,P102:R103,3,0)),"MISSING INFO")</f>
        <v>MISSING INFO</v>
      </c>
      <c r="H57" s="1560"/>
      <c r="I57" s="1560"/>
      <c r="J57" s="1563"/>
    </row>
    <row r="58" spans="2:12" x14ac:dyDescent="0.25">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25">
      <c r="B59" s="1558" t="s">
        <v>1915</v>
      </c>
      <c r="C59" s="1902" t="s">
        <v>2298</v>
      </c>
      <c r="D59" s="1903"/>
      <c r="E59" s="1903"/>
      <c r="F59" s="1903"/>
      <c r="G59" s="1565" t="str">
        <f>IFERROR(IF(VLOOKUP(C59,P109:R111,3,0)=0,"",VLOOKUP(C59,P109:R111,3,0)),"MISSING INFO")</f>
        <v>MISSING INFO</v>
      </c>
      <c r="H59" s="1560"/>
      <c r="I59" s="1560"/>
      <c r="J59" s="1562"/>
    </row>
    <row r="60" spans="2:12" ht="13.95" customHeight="1" x14ac:dyDescent="0.25">
      <c r="B60" s="1558" t="s">
        <v>3409</v>
      </c>
      <c r="C60" s="1902" t="s">
        <v>2300</v>
      </c>
      <c r="D60" s="1903"/>
      <c r="E60" s="1903"/>
      <c r="F60" s="1903"/>
      <c r="G60" s="1565" t="str">
        <f>IFERROR(IF(VLOOKUP(C60,P115:R121,3,0)=0,"",VLOOKUP(C60,P115:R121,3,0)),"MISSING INFO")</f>
        <v>MISSING INFO</v>
      </c>
      <c r="H60" s="1560"/>
      <c r="I60" s="1560"/>
      <c r="J60" s="1563"/>
    </row>
    <row r="61" spans="2:12" ht="13.95" customHeight="1" x14ac:dyDescent="0.25">
      <c r="B61" s="1558" t="s">
        <v>3410</v>
      </c>
      <c r="C61" s="1902" t="s">
        <v>2299</v>
      </c>
      <c r="D61" s="1903"/>
      <c r="E61" s="1903"/>
      <c r="F61" s="1903"/>
      <c r="G61" s="1565" t="str">
        <f>IFERROR(IF(VLOOKUP(C61,P123:R124,3,0)=0,"",VLOOKUP(C61,P123:R124,3,0)),"MISSING INFO")</f>
        <v>MISSING INFO</v>
      </c>
      <c r="H61" s="1560"/>
      <c r="I61" s="1560"/>
      <c r="J61" s="1563"/>
    </row>
    <row r="62" spans="2:12" x14ac:dyDescent="0.25">
      <c r="B62" s="1558" t="s">
        <v>1916</v>
      </c>
      <c r="C62" s="1902" t="s">
        <v>2299</v>
      </c>
      <c r="D62" s="1903"/>
      <c r="E62" s="1903"/>
      <c r="F62" s="1903"/>
      <c r="G62" s="1565"/>
      <c r="H62" s="1560"/>
      <c r="I62" s="1560"/>
      <c r="J62" s="1563"/>
    </row>
    <row r="63" spans="2:12" x14ac:dyDescent="0.25">
      <c r="B63" s="1558" t="s">
        <v>3411</v>
      </c>
      <c r="C63" s="1953" t="s">
        <v>216</v>
      </c>
      <c r="D63" s="1954"/>
      <c r="E63" s="1954"/>
      <c r="F63" s="1954"/>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55" t="s">
        <v>1919</v>
      </c>
      <c r="D67" s="1956"/>
      <c r="E67" s="1956"/>
      <c r="F67" s="1957"/>
      <c r="G67" s="1959" t="s">
        <v>1919</v>
      </c>
      <c r="H67" s="1959"/>
      <c r="I67" s="1959"/>
      <c r="J67" s="1960"/>
    </row>
    <row r="68" spans="2:18" ht="42" customHeight="1" x14ac:dyDescent="0.25">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58" t="s">
        <v>1901</v>
      </c>
      <c r="Q73" s="1958"/>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58" t="s">
        <v>1909</v>
      </c>
      <c r="Q88" s="1958"/>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25">
      <c r="C2" s="818" t="s">
        <v>2306</v>
      </c>
      <c r="D2" s="698"/>
      <c r="E2" s="698"/>
      <c r="F2" s="699"/>
      <c r="G2" s="700"/>
      <c r="H2" s="700"/>
      <c r="I2" s="700"/>
      <c r="J2" s="700"/>
      <c r="L2" s="1713"/>
      <c r="M2" s="1713"/>
      <c r="N2" s="1713"/>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34" t="s">
        <v>3262</v>
      </c>
      <c r="D5" s="2034"/>
      <c r="E5" s="2034"/>
      <c r="F5" s="2034"/>
      <c r="G5" s="1470"/>
      <c r="H5" s="1470"/>
      <c r="I5" s="1470"/>
      <c r="J5" s="1470"/>
      <c r="L5" s="805"/>
      <c r="M5" s="805"/>
      <c r="N5" s="805"/>
      <c r="O5" s="1471"/>
      <c r="P5" s="1471"/>
      <c r="Q5" s="1471"/>
      <c r="R5" s="1471"/>
      <c r="W5" s="1072"/>
      <c r="X5" s="1073"/>
      <c r="Y5" s="1073"/>
    </row>
    <row r="6" spans="1:25" s="812" customFormat="1" ht="19.95" customHeight="1" x14ac:dyDescent="0.3">
      <c r="C6" s="2031" t="s">
        <v>3263</v>
      </c>
      <c r="D6" s="2031"/>
      <c r="E6" s="2031"/>
      <c r="F6" s="2031"/>
      <c r="G6" s="815"/>
      <c r="H6" s="815"/>
      <c r="I6" s="815"/>
      <c r="J6" s="815"/>
      <c r="L6" s="805"/>
      <c r="M6" s="805"/>
      <c r="N6" s="805"/>
      <c r="O6" s="816"/>
      <c r="P6" s="816"/>
      <c r="Q6" s="816"/>
      <c r="R6" s="816"/>
      <c r="W6" s="1072"/>
      <c r="X6" s="1073"/>
      <c r="Y6" s="1073"/>
    </row>
    <row r="7" spans="1:25" s="812" customFormat="1" ht="19.95" customHeight="1" x14ac:dyDescent="0.3">
      <c r="C7" s="2032" t="s">
        <v>2274</v>
      </c>
      <c r="D7" s="2032"/>
      <c r="E7" s="2032"/>
      <c r="F7" s="2032"/>
      <c r="G7" s="815"/>
      <c r="H7" s="815"/>
      <c r="I7" s="815"/>
      <c r="J7" s="815"/>
      <c r="L7" s="805"/>
      <c r="M7" s="805"/>
      <c r="N7" s="805"/>
      <c r="O7" s="816"/>
      <c r="P7" s="816"/>
      <c r="Q7" s="816"/>
      <c r="R7" s="816"/>
      <c r="W7" s="1072"/>
      <c r="X7" s="1073"/>
      <c r="Y7" s="1073"/>
    </row>
    <row r="8" spans="1:25" s="812" customFormat="1" ht="29.55" customHeight="1" x14ac:dyDescent="0.3">
      <c r="C8" s="2032" t="s">
        <v>2275</v>
      </c>
      <c r="D8" s="2032"/>
      <c r="E8" s="2032"/>
      <c r="F8" s="2032"/>
      <c r="G8" s="815"/>
      <c r="H8" s="815"/>
      <c r="I8" s="815"/>
      <c r="J8" s="815"/>
      <c r="L8" s="805"/>
      <c r="M8" s="805"/>
      <c r="N8" s="805"/>
      <c r="O8" s="816"/>
      <c r="P8" s="816"/>
      <c r="Q8" s="816"/>
      <c r="R8" s="816"/>
      <c r="W8" s="1072"/>
      <c r="X8" s="1073"/>
      <c r="Y8" s="1073"/>
    </row>
    <row r="9" spans="1:25" s="812" customFormat="1" ht="29.55" customHeight="1" x14ac:dyDescent="0.3">
      <c r="C9" s="2032" t="s">
        <v>3264</v>
      </c>
      <c r="D9" s="2032"/>
      <c r="E9" s="2032"/>
      <c r="F9" s="2032"/>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30"/>
      <c r="N12" s="2030"/>
      <c r="O12" s="660"/>
      <c r="P12" s="660"/>
      <c r="Q12" s="660"/>
      <c r="R12" s="660"/>
      <c r="W12" s="1074"/>
      <c r="X12" s="1075"/>
      <c r="Y12" s="1075"/>
    </row>
    <row r="13" spans="1:25" ht="17.399999999999999" x14ac:dyDescent="0.25">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25">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25">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25">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05" customHeight="1" x14ac:dyDescent="0.25">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05" customHeight="1" x14ac:dyDescent="0.25">
      <c r="C19" s="962" t="s">
        <v>22</v>
      </c>
      <c r="D19" s="991" t="str">
        <f>'1. Project Inputs'!C23</f>
        <v>Honda Web Enhancment</v>
      </c>
      <c r="E19" s="519"/>
      <c r="F19" s="1999"/>
      <c r="G19" s="411"/>
      <c r="H19" s="411"/>
      <c r="I19" s="411"/>
      <c r="J19" s="411"/>
      <c r="K19" s="671"/>
      <c r="L19" s="671"/>
      <c r="M19" s="641"/>
      <c r="N19" s="647"/>
      <c r="O19" s="673"/>
      <c r="P19" s="673"/>
      <c r="Q19" s="673"/>
      <c r="R19" s="673"/>
      <c r="S19" s="413"/>
      <c r="T19" s="413"/>
      <c r="U19" s="2018"/>
      <c r="V19" s="411"/>
      <c r="W19" s="399"/>
    </row>
    <row r="20" spans="3:23" ht="16.05" customHeight="1" x14ac:dyDescent="0.25">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05" customHeight="1" x14ac:dyDescent="0.25">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05" customHeight="1" x14ac:dyDescent="0.25">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05" customHeight="1" x14ac:dyDescent="0.25">
      <c r="C23" s="867" t="s">
        <v>26</v>
      </c>
      <c r="D23" s="1023">
        <f>'1. Project Inputs'!C27</f>
        <v>45891</v>
      </c>
      <c r="F23" s="1999"/>
      <c r="G23" s="411"/>
      <c r="H23" s="411"/>
      <c r="I23" s="411"/>
      <c r="J23" s="411"/>
      <c r="K23" s="671"/>
      <c r="L23" s="671"/>
      <c r="M23" s="641"/>
      <c r="N23" s="680"/>
      <c r="O23" s="673"/>
      <c r="P23" s="673"/>
      <c r="Q23" s="673"/>
      <c r="R23" s="673"/>
      <c r="S23" s="413"/>
      <c r="T23" s="413"/>
      <c r="U23" s="2018"/>
      <c r="V23" s="411"/>
      <c r="W23" s="399"/>
    </row>
    <row r="24" spans="3:23" ht="17.25" customHeight="1" x14ac:dyDescent="0.25">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25">
      <c r="C25" s="867" t="s">
        <v>27</v>
      </c>
      <c r="D25" s="1024" t="str">
        <f>'1. Project Inputs'!C28</f>
        <v>T&amp;M</v>
      </c>
      <c r="E25" s="681"/>
      <c r="F25" s="1999"/>
      <c r="G25" s="411"/>
      <c r="H25" s="411"/>
      <c r="I25" s="411"/>
      <c r="J25" s="411"/>
      <c r="K25" s="671"/>
      <c r="L25" s="671"/>
      <c r="M25" s="641"/>
      <c r="N25" s="505"/>
      <c r="O25" s="505"/>
      <c r="P25" s="505"/>
      <c r="Q25" s="505"/>
      <c r="R25" s="505"/>
      <c r="S25" s="413"/>
      <c r="T25" s="413"/>
      <c r="U25" s="2018"/>
      <c r="V25" s="411"/>
      <c r="W25" s="399"/>
    </row>
    <row r="26" spans="3:23" ht="19.05" customHeight="1" x14ac:dyDescent="0.25">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25">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1999"/>
      <c r="G28" s="411"/>
      <c r="H28" s="430"/>
      <c r="I28" s="430"/>
      <c r="J28" s="430"/>
      <c r="K28" s="682"/>
      <c r="L28" s="682"/>
      <c r="U28" s="674"/>
      <c r="V28" s="411"/>
      <c r="W28" s="399"/>
    </row>
    <row r="29" spans="3:23" ht="7.05" customHeight="1" x14ac:dyDescent="0.25">
      <c r="C29" s="683"/>
      <c r="D29" s="684"/>
      <c r="E29" s="681"/>
      <c r="F29" s="1999"/>
      <c r="G29" s="411"/>
      <c r="H29" s="430"/>
      <c r="I29" s="430"/>
      <c r="J29" s="430"/>
      <c r="K29" s="682"/>
      <c r="L29" s="682"/>
      <c r="U29" s="674"/>
      <c r="V29" s="411"/>
      <c r="W29" s="399"/>
    </row>
    <row r="30" spans="3:23" ht="15" x14ac:dyDescent="0.25">
      <c r="C30" s="1026" t="s">
        <v>2202</v>
      </c>
      <c r="E30" s="681"/>
      <c r="F30" s="1999"/>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25">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5" customHeight="1" thickBot="1" x14ac:dyDescent="0.3">
      <c r="B61" s="109"/>
      <c r="C61" s="691"/>
      <c r="D61" s="692"/>
      <c r="E61" s="693"/>
      <c r="F61" s="694"/>
      <c r="G61" s="692"/>
      <c r="H61" s="692"/>
      <c r="I61" s="692"/>
      <c r="J61" s="692"/>
      <c r="K61" s="692"/>
      <c r="L61" s="2002"/>
      <c r="M61" s="2025"/>
      <c r="N61" s="2025"/>
      <c r="O61" s="2025"/>
      <c r="P61" s="695"/>
      <c r="Q61" s="695"/>
      <c r="R61" s="695"/>
      <c r="S61" s="696"/>
      <c r="T61" s="2026"/>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15" t="s">
        <v>79</v>
      </c>
      <c r="D128" s="2016"/>
      <c r="E128" s="2017"/>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7" t="s">
        <v>2303</v>
      </c>
      <c r="C7" s="2037"/>
      <c r="D7" s="2037"/>
      <c r="E7" s="2037"/>
      <c r="F7" s="2037"/>
      <c r="G7" s="2037"/>
      <c r="H7" s="2037"/>
      <c r="I7" s="2037"/>
      <c r="J7" s="2037"/>
      <c r="K7" s="395"/>
      <c r="L7" s="395"/>
      <c r="N7" s="395"/>
      <c r="O7" s="395"/>
      <c r="P7" s="395"/>
      <c r="Q7" s="395"/>
      <c r="R7" s="395"/>
    </row>
    <row r="8" spans="2:18" ht="14.25" customHeight="1" x14ac:dyDescent="0.25">
      <c r="B8" s="2038" t="s">
        <v>3268</v>
      </c>
      <c r="C8" s="2038"/>
      <c r="D8" s="2038"/>
      <c r="E8" s="2038"/>
      <c r="F8" s="2038"/>
      <c r="G8" s="2038"/>
      <c r="H8" s="2038"/>
      <c r="I8" s="2038"/>
      <c r="J8" s="2038"/>
      <c r="K8" s="395"/>
      <c r="L8" s="395"/>
      <c r="N8" s="395"/>
      <c r="O8" s="395"/>
      <c r="P8" s="395"/>
      <c r="Q8" s="395"/>
      <c r="R8" s="395"/>
    </row>
    <row r="9" spans="2:18" x14ac:dyDescent="0.25">
      <c r="B9" s="1729" t="s">
        <v>3269</v>
      </c>
      <c r="C9" s="1729"/>
      <c r="D9" s="1729"/>
      <c r="E9" s="1729"/>
      <c r="F9" s="1729"/>
      <c r="G9" s="1729"/>
      <c r="H9" s="1729"/>
      <c r="I9" s="1729"/>
      <c r="J9" s="1729"/>
      <c r="K9" s="395"/>
      <c r="L9" s="395"/>
      <c r="N9" s="395"/>
      <c r="O9" s="395"/>
      <c r="P9" s="395"/>
      <c r="Q9" s="395"/>
      <c r="R9" s="395"/>
    </row>
    <row r="10" spans="2:18" x14ac:dyDescent="0.25">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5" t="s">
        <v>90</v>
      </c>
      <c r="D12" s="2036"/>
      <c r="E12" s="395"/>
      <c r="F12" s="395"/>
      <c r="G12" s="1475"/>
      <c r="H12" s="413"/>
      <c r="I12" s="2035" t="s">
        <v>91</v>
      </c>
      <c r="J12" s="2036"/>
      <c r="K12" s="395"/>
      <c r="L12" s="395"/>
      <c r="M12" s="1475"/>
      <c r="N12" s="413"/>
      <c r="O12" s="2035" t="s">
        <v>92</v>
      </c>
      <c r="P12" s="2036"/>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45891</v>
      </c>
      <c r="E14" s="395"/>
      <c r="F14" s="395"/>
      <c r="G14" s="1475"/>
      <c r="H14" s="413"/>
      <c r="I14" s="1084" t="s">
        <v>3267</v>
      </c>
      <c r="J14" s="1476">
        <f>'1. Project Inputs'!$C$27</f>
        <v>45891</v>
      </c>
      <c r="K14" s="395"/>
      <c r="L14" s="395"/>
      <c r="M14" s="1475"/>
      <c r="N14" s="413"/>
      <c r="O14" s="1084" t="s">
        <v>3267</v>
      </c>
      <c r="P14" s="1476">
        <f>'1. Project Inputs'!$C$27</f>
        <v>45891</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665"/>
      <c r="J62" s="1665"/>
      <c r="K62" s="1665"/>
      <c r="L62" s="1665"/>
      <c r="M62" s="1484"/>
      <c r="N62" s="395"/>
      <c r="O62" s="395"/>
      <c r="P62" s="395"/>
      <c r="Q62" s="395"/>
      <c r="R62" s="395"/>
    </row>
    <row r="63" spans="2:43" x14ac:dyDescent="0.25">
      <c r="B63" s="413"/>
      <c r="C63" s="395"/>
      <c r="D63" s="395"/>
      <c r="E63" s="395"/>
      <c r="F63" s="395"/>
      <c r="G63" s="1475"/>
      <c r="H63" s="395"/>
      <c r="I63" s="1665"/>
      <c r="J63" s="1665"/>
      <c r="K63" s="1665"/>
      <c r="L63" s="1665"/>
      <c r="M63" s="1484"/>
      <c r="N63" s="395"/>
      <c r="O63" s="395"/>
      <c r="P63" s="395"/>
      <c r="Q63" s="395"/>
      <c r="R63" s="395"/>
    </row>
    <row r="64" spans="2:43" x14ac:dyDescent="0.25">
      <c r="B64" s="413"/>
      <c r="C64" s="395"/>
      <c r="D64" s="395"/>
      <c r="E64" s="395"/>
      <c r="F64" s="395"/>
      <c r="G64" s="1475"/>
      <c r="H64" s="395"/>
      <c r="I64" s="1665"/>
      <c r="J64" s="1665"/>
      <c r="K64" s="1665"/>
      <c r="L64" s="1665"/>
      <c r="M64" s="1484"/>
      <c r="N64" s="395"/>
      <c r="O64" s="395"/>
      <c r="P64" s="395"/>
      <c r="Q64" s="395"/>
      <c r="R64" s="395"/>
    </row>
    <row r="65" spans="2:18" x14ac:dyDescent="0.25">
      <c r="B65" s="413"/>
      <c r="C65" s="395"/>
      <c r="D65" s="395"/>
      <c r="E65" s="395"/>
      <c r="F65" s="395"/>
      <c r="G65" s="1475"/>
      <c r="H65" s="395"/>
      <c r="I65" s="1665"/>
      <c r="J65" s="1665"/>
      <c r="K65" s="1665"/>
      <c r="L65" s="1665"/>
      <c r="M65" s="1484"/>
      <c r="N65" s="395"/>
      <c r="O65" s="395"/>
      <c r="P65" s="395"/>
      <c r="Q65" s="395"/>
      <c r="R65" s="395"/>
    </row>
    <row r="66" spans="2:18" x14ac:dyDescent="0.25">
      <c r="B66" s="413"/>
      <c r="C66" s="395"/>
      <c r="D66" s="395"/>
      <c r="E66" s="395"/>
      <c r="F66" s="395"/>
      <c r="G66" s="1475"/>
      <c r="H66" s="395"/>
      <c r="I66" s="1665"/>
      <c r="J66" s="1665"/>
      <c r="K66" s="1665"/>
      <c r="L66" s="1665"/>
      <c r="M66" s="1484"/>
      <c r="N66" s="395"/>
      <c r="O66" s="395"/>
      <c r="P66" s="395"/>
      <c r="Q66" s="395"/>
      <c r="R66" s="395"/>
    </row>
    <row r="67" spans="2:18" x14ac:dyDescent="0.25">
      <c r="B67" s="413"/>
      <c r="C67" s="395"/>
      <c r="D67" s="395"/>
      <c r="E67" s="395"/>
      <c r="F67" s="395"/>
      <c r="G67" s="1475"/>
      <c r="H67" s="395"/>
      <c r="I67" s="1665"/>
      <c r="J67" s="1665"/>
      <c r="K67" s="1665"/>
      <c r="L67" s="1665"/>
      <c r="M67" s="1484"/>
      <c r="N67" s="395"/>
      <c r="O67" s="395"/>
      <c r="P67" s="395"/>
      <c r="Q67" s="395"/>
      <c r="R67" s="395"/>
    </row>
    <row r="68" spans="2:18" x14ac:dyDescent="0.25">
      <c r="B68" s="413"/>
      <c r="C68" s="395"/>
      <c r="D68" s="395"/>
      <c r="E68" s="395"/>
      <c r="F68" s="395"/>
      <c r="G68" s="1475"/>
      <c r="H68" s="395"/>
      <c r="I68" s="1665"/>
      <c r="J68" s="1665"/>
      <c r="K68" s="1665"/>
      <c r="L68" s="1665"/>
      <c r="M68" s="1484"/>
      <c r="N68" s="395"/>
      <c r="O68" s="395"/>
      <c r="P68" s="395"/>
      <c r="Q68" s="395"/>
      <c r="R68" s="395"/>
    </row>
    <row r="69" spans="2:18" x14ac:dyDescent="0.25">
      <c r="B69" s="413"/>
      <c r="C69" s="395"/>
      <c r="D69" s="395"/>
      <c r="E69" s="395"/>
      <c r="F69" s="395"/>
      <c r="G69" s="1475"/>
      <c r="H69" s="395"/>
      <c r="I69" s="1665"/>
      <c r="J69" s="1665"/>
      <c r="K69" s="1665"/>
      <c r="L69" s="1665"/>
      <c r="M69" s="1484"/>
      <c r="N69" s="395"/>
      <c r="O69" s="395"/>
      <c r="P69" s="395"/>
      <c r="Q69" s="395"/>
      <c r="R69" s="395"/>
    </row>
    <row r="70" spans="2:18" x14ac:dyDescent="0.25">
      <c r="B70" s="413"/>
      <c r="C70" s="395"/>
      <c r="D70" s="395"/>
      <c r="E70" s="395"/>
      <c r="F70" s="395"/>
      <c r="G70" s="1475"/>
      <c r="H70" s="395"/>
      <c r="I70" s="1665"/>
      <c r="J70" s="1665"/>
      <c r="K70" s="1665"/>
      <c r="L70" s="1665"/>
      <c r="M70" s="1484"/>
      <c r="N70" s="395"/>
      <c r="O70" s="395"/>
      <c r="P70" s="395"/>
      <c r="Q70" s="395"/>
      <c r="R70" s="395"/>
    </row>
    <row r="71" spans="2:18" x14ac:dyDescent="0.25">
      <c r="B71" s="413"/>
      <c r="C71" s="395"/>
      <c r="D71" s="492"/>
      <c r="E71" s="600"/>
      <c r="F71" s="600"/>
      <c r="G71" s="1499"/>
      <c r="H71" s="395"/>
      <c r="I71" s="1665"/>
      <c r="J71" s="1665"/>
      <c r="K71" s="1665"/>
      <c r="L71" s="1665"/>
      <c r="M71" s="1484"/>
      <c r="N71" s="395"/>
      <c r="O71" s="395"/>
      <c r="P71" s="395"/>
      <c r="Q71" s="395"/>
      <c r="R71" s="395"/>
    </row>
    <row r="72" spans="2:18" x14ac:dyDescent="0.25">
      <c r="B72" s="413"/>
      <c r="C72" s="1496"/>
      <c r="D72" s="495"/>
      <c r="E72" s="820"/>
      <c r="F72" s="820"/>
      <c r="G72" s="1497"/>
      <c r="H72" s="395"/>
      <c r="I72" s="1665"/>
      <c r="J72" s="1665"/>
      <c r="K72" s="1665"/>
      <c r="L72" s="1665"/>
      <c r="M72" s="1484"/>
      <c r="N72" s="395"/>
      <c r="O72" s="395"/>
      <c r="P72" s="395"/>
      <c r="Q72" s="395"/>
      <c r="R72" s="395"/>
    </row>
    <row r="73" spans="2:18" x14ac:dyDescent="0.25">
      <c r="B73" s="413"/>
      <c r="C73" s="1496"/>
      <c r="D73" s="495"/>
      <c r="E73" s="820"/>
      <c r="F73" s="820"/>
      <c r="G73" s="1497"/>
      <c r="H73" s="395"/>
      <c r="I73" s="1665"/>
      <c r="J73" s="1665"/>
      <c r="K73" s="1665"/>
      <c r="L73" s="1665"/>
      <c r="M73" s="1484"/>
      <c r="N73" s="395"/>
      <c r="O73" s="395"/>
      <c r="P73" s="395"/>
      <c r="Q73" s="395"/>
      <c r="R73" s="395"/>
    </row>
    <row r="74" spans="2:18" x14ac:dyDescent="0.25">
      <c r="B74" s="413"/>
      <c r="C74" s="1496"/>
      <c r="D74" s="495"/>
      <c r="E74" s="820"/>
      <c r="F74" s="820"/>
      <c r="G74" s="1497"/>
      <c r="H74" s="395"/>
      <c r="I74" s="1665"/>
      <c r="J74" s="1665"/>
      <c r="K74" s="1665"/>
      <c r="L74" s="1665"/>
      <c r="M74" s="1484"/>
      <c r="N74" s="395"/>
      <c r="O74" s="395"/>
      <c r="P74" s="395"/>
      <c r="Q74" s="395"/>
      <c r="R74" s="395"/>
    </row>
    <row r="75" spans="2:18" x14ac:dyDescent="0.25">
      <c r="B75" s="413"/>
      <c r="C75" s="1496"/>
      <c r="D75" s="495"/>
      <c r="E75" s="820"/>
      <c r="F75" s="820"/>
      <c r="G75" s="1497"/>
      <c r="H75" s="395"/>
      <c r="I75" s="1665"/>
      <c r="J75" s="1665"/>
      <c r="K75" s="1665"/>
      <c r="L75" s="1665"/>
      <c r="M75" s="1484"/>
      <c r="N75" s="395"/>
      <c r="O75" s="395"/>
      <c r="P75" s="395"/>
      <c r="Q75" s="395"/>
      <c r="R75" s="395"/>
    </row>
    <row r="76" spans="2:18" x14ac:dyDescent="0.25">
      <c r="B76" s="413"/>
      <c r="C76" s="1496"/>
      <c r="D76" s="495"/>
      <c r="E76" s="820"/>
      <c r="F76" s="820"/>
      <c r="G76" s="1497"/>
      <c r="H76" s="395"/>
      <c r="I76" s="1665"/>
      <c r="J76" s="1665"/>
      <c r="K76" s="1665"/>
      <c r="L76" s="1665"/>
      <c r="M76" s="1484"/>
      <c r="N76" s="395"/>
      <c r="O76" s="395"/>
      <c r="P76" s="395"/>
      <c r="Q76" s="395"/>
      <c r="R76" s="395"/>
    </row>
    <row r="77" spans="2:18" x14ac:dyDescent="0.25">
      <c r="B77" s="413"/>
      <c r="C77" s="1496"/>
      <c r="D77" s="495"/>
      <c r="E77" s="820"/>
      <c r="F77" s="820"/>
      <c r="G77" s="1497"/>
      <c r="H77" s="395"/>
      <c r="I77" s="1665"/>
      <c r="J77" s="1665"/>
      <c r="K77" s="1665"/>
      <c r="L77" s="1665"/>
      <c r="M77" s="1484"/>
      <c r="N77" s="395"/>
      <c r="O77" s="395"/>
      <c r="P77" s="395"/>
      <c r="Q77" s="395"/>
      <c r="R77" s="395"/>
    </row>
    <row r="78" spans="2:18" x14ac:dyDescent="0.25">
      <c r="B78" s="413"/>
      <c r="C78" s="1496"/>
      <c r="D78" s="495"/>
      <c r="E78" s="820"/>
      <c r="F78" s="820"/>
      <c r="G78" s="1497"/>
      <c r="H78" s="395"/>
      <c r="I78" s="1665"/>
      <c r="J78" s="1665"/>
      <c r="K78" s="1665"/>
      <c r="L78" s="1665"/>
      <c r="M78" s="1484"/>
      <c r="N78" s="395"/>
      <c r="O78" s="395"/>
      <c r="P78" s="395"/>
      <c r="Q78" s="395"/>
      <c r="R78" s="395"/>
    </row>
    <row r="79" spans="2:18" x14ac:dyDescent="0.25">
      <c r="B79" s="413"/>
      <c r="C79" s="1496"/>
      <c r="D79" s="495"/>
      <c r="E79" s="820"/>
      <c r="F79" s="820"/>
      <c r="G79" s="1497"/>
      <c r="H79" s="395"/>
      <c r="I79" s="1665"/>
      <c r="J79" s="1665"/>
      <c r="K79" s="1665"/>
      <c r="L79" s="1665"/>
      <c r="M79" s="1484"/>
      <c r="N79" s="395"/>
      <c r="O79" s="395"/>
      <c r="P79" s="395"/>
      <c r="Q79" s="395"/>
      <c r="R79" s="395"/>
    </row>
    <row r="80" spans="2:18" x14ac:dyDescent="0.25">
      <c r="B80" s="413"/>
      <c r="C80" s="1496"/>
      <c r="D80" s="495"/>
      <c r="E80" s="820"/>
      <c r="F80" s="820"/>
      <c r="G80" s="1497"/>
      <c r="H80" s="395"/>
      <c r="I80" s="1665"/>
      <c r="J80" s="1665"/>
      <c r="K80" s="1665"/>
      <c r="L80" s="1665"/>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718" t="s">
        <v>3287</v>
      </c>
      <c r="C10" s="1718"/>
      <c r="D10" s="1718"/>
      <c r="E10" s="1718"/>
      <c r="F10" s="1718"/>
      <c r="G10" s="1718"/>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9"/>
      <c r="B1" s="2059"/>
      <c r="C1" s="2059"/>
      <c r="D1" s="134"/>
      <c r="E1" s="134"/>
      <c r="F1" s="134"/>
      <c r="G1" s="134"/>
    </row>
    <row r="2" spans="1:9" ht="14.25" customHeight="1" x14ac:dyDescent="0.25">
      <c r="A2" s="2059"/>
      <c r="B2" s="2059"/>
      <c r="C2" s="2059"/>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5"/>
      <c r="D10" s="2055"/>
      <c r="E10" s="2052"/>
      <c r="F10" s="103"/>
      <c r="H10" s="2050"/>
      <c r="I10" s="2050"/>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3" t="s">
        <v>1282</v>
      </c>
      <c r="C39" s="2054"/>
      <c r="D39" s="2054"/>
      <c r="E39" s="2054"/>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6" t="s">
        <v>1290</v>
      </c>
      <c r="C64" s="2057"/>
      <c r="D64" s="2058"/>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A1:C2"/>
    <mergeCell ref="B30:C30"/>
    <mergeCell ref="H10:I10"/>
    <mergeCell ref="B22:C22"/>
    <mergeCell ref="B39:E39"/>
    <mergeCell ref="B10:E10"/>
    <mergeCell ref="B64:D64"/>
    <mergeCell ref="B56:C56"/>
    <mergeCell ref="B48:C48"/>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2025-08-22T12:20:40Z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