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3E06E235-E235-48A9-8C1F-4C6F9A0F4AE4}"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<sst xmlns="http://schemas.openxmlformats.org/spreadsheetml/2006/main" count="22830" uniqueCount="3694">
  <si>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</si>
  <si>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</si>
  <si>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</si>
  <si>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</si>
  <si>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</si>
  <si>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</si>
  <si>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</si>
  <si>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</si>
  <si>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</si>
  <si>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</si>
  <si>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</si>
  <si>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</si>
  <si>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</si>
  <si>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</si>
  <si>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</si>
  <si>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</si>
  <si>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</si>
  <si>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</si>
  <si>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</si>
  <si>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</si>
  <si>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</si>
  <si>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</si>
  <si>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</si>
  <si>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</si>
  <si>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</si>
  <si>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</si>
  <si>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</si>
  <si>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</si>
  <si>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</si>
  <si>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</si>
  <si>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</si>
  <si>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</si>
  <si>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</si>
  <si>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</si>
  <si>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</si>
  <si>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</si>
  <si>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</si>
  <si>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</si>
  <si>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</si>
  <si>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</si>
  <si>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</si>
  <si>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</si>
  <si>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</si>
  <si>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</si>
  <si>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</si>
  <si>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</si>
  <si>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</si>
  <si>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</si>
  <si>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</si>
  <si>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</si>
  <si>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</si>
  <si>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</si>
  <si>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</si>
  <si>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</si>
  <si>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</si>
  <si>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</si>
  <si>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</si>
  <si>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</si>
  <si>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</si>
  <si>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</si>
  <si>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</si>
  <si>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</si>
  <si>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</si>
  <si>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</si>
  <si>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</si>
  <si>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</si>
  <si>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</si>
  <si>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</si>
  <si>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</si>
  <si>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</si>
  <si>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</si>
  <si>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</si>
  <si>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</si>
  <si>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</si>
  <si>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</si>
  <si>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</si>
  <si>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</si>
  <si>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</si>
  <si>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</si>
  <si>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</si>
  <si>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</si>
  <si>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</si>
  <si>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</si>
  <si>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</si>
  <si>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</si>
  <si>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</si>
  <si>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</si>
  <si>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</si>
  <si>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</si>
  <si>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</si>
  <si>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</si>
  <si>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</si>
  <si>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</si>
  <si>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</si>
  <si>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</si>
  <si>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</si>
  <si>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</si>
  <si>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</si>
  <si>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</si>
  <si>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</si>
  <si>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</si>
  <si>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</si>
  <si>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</si>
  <si>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</si>
  <si>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</si>
  <si>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</si>
  <si>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</si>
  <si>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</si>
  <si>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</si>
  <si>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</si>
  <si>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</si>
  <si>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</si>
  <si>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</si>
  <si>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</si>
  <si>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</si>
  <si>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</si>
  <si>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</si>
  <si>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</si>
  <si>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</si>
  <si>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</si>
  <si>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</si>
  <si>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</si>
  <si>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</si>
  <si>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</si>
  <si>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</si>
  <si>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</si>
  <si>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</si>
  <si>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</si>
  <si>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</si>
  <si>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</si>
  <si>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</si>
  <si>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</si>
  <si>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</si>
  <si>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</si>
  <si>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</si>
  <si>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</si>
  <si>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</si>
  <si>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</si>
  <si>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</si>
  <si>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</si>
  <si>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</si>
  <si>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</si>
  <si>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</si>
  <si>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</si>
  <si>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</si>
  <si>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</si>
  <si>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</si>
  <si>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</si>
  <si>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</si>
  <si>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</si>
  <si>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</si>
  <si>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</si>
  <si>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</si>
  <si>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</si>
  <si>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</si>
  <si>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</si>
  <si>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</si>
  <si>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</si>
  <si>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</si>
  <si>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</si>
  <si>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</si>
  <si>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</si>
  <si>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</si>
  <si>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</si>
  <si>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</si>
  <si>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</si>
  <si>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</si>
  <si>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</si>
  <si>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</si>
  <si>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</si>
  <si>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</si>
  <si>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</si>
  <si>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</si>
  <si>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</si>
  <si>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</si>
  <si>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</si>
  <si>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</si>
  <si>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</si>
  <si>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</si>
  <si>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</si>
  <si>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</si>
  <si>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</si>
  <si>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</si>
  <si>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</si>
  <si>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</si>
  <si>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</si>
  <si>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</si>
  <si>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</si>
  <si>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</si>
  <si>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</si>
  <si>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</si>
  <si>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</si>
  <si>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</si>
  <si>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</si>
  <si>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</si>
  <si>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</si>
  <si>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</si>
  <si>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</si>
  <si>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</si>
  <si>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</si>
  <si>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</si>
  <si>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</si>
  <si>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</si>
  <si>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</si>
  <si>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</si>
  <si>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</si>
  <si>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</si>
  <si>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</si>
  <si>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</si>
  <si>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</si>
  <si>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</si>
  <si>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</si>
  <si>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</si>
  <si>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</si>
  <si>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</si>
  <si>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</si>
  <si>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</si>
  <si>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</si>
  <si>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</si>
  <si>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</si>
  <si>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</si>
  <si>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</si>
  <si>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</si>
  <si>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</si>
  <si>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</si>
  <si>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</si>
  <si>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</si>
  <si>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</si>
  <si>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</si>
  <si>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</si>
  <si>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</si>
  <si>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</si>
  <si>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</si>
  <si>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</si>
  <si>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</si>
  <si>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</si>
  <si>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</si>
  <si>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</si>
  <si>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</si>
  <si>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</si>
  <si>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</si>
  <si>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</si>
  <si>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</si>
  <si>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</si>
  <si>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</si>
  <si>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</si>
  <si>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</si>
  <si>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</si>
  <si>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</si>
  <si>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</si>
  <si>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</si>
  <si>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</si>
  <si>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</si>
  <si>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</si>
  <si>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</si>
  <si>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</si>
  <si>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</si>
  <si>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</si>
  <si>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</si>
  <si>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</si>
  <si>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</si>
  <si>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</si>
  <si>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</si>
  <si>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</si>
  <si>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</si>
  <si>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</si>
  <si>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</si>
  <si>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</si>
  <si>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</si>
  <si>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</si>
  <si>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</si>
  <si>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</si>
  <si>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</si>
  <si>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</si>
  <si>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</si>
  <si>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</si>
  <si>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</si>
  <si>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</si>
  <si>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</si>
  <si>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</si>
  <si>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</si>
  <si>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</si>
  <si>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</si>
  <si>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</si>
  <si>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</si>
  <si>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</si>
  <si>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</si>
  <si>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</si>
  <si>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</si>
  <si>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</si>
  <si>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</si>
  <si>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</si>
  <si>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</si>
  <si>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</si>
  <si>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</si>
  <si>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</si>
  <si>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</si>
  <si>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</si>
  <si>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</si>
  <si>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</si>
  <si>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</si>
  <si>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</si>
  <si>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</si>
  <si>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</si>
  <si>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</si>
  <si>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</si>
  <si>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</si>
  <si>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</si>
  <si>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</si>
  <si>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</si>
  <si>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</si>
  <si>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</si>
  <si>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</si>
  <si>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</si>
  <si>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</si>
  <si>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</si>
  <si>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</si>
  <si>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</si>
  <si>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</si>
  <si>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</si>
  <si>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</si>
  <si>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</si>
  <si>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</si>
  <si>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</si>
  <si>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</si>
  <si>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</si>
  <si>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</si>
  <si>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</si>
  <si>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</si>
  <si>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</si>
  <si>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</si>
  <si>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</si>
  <si>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</si>
  <si>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</si>
  <si>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</si>
  <si>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</si>
  <si>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</si>
  <si>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</si>
  <si>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</si>
  <si>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</si>
  <si>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</si>
  <si>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</si>
  <si>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</si>
  <si>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</si>
  <si>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</si>
  <si>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</si>
  <si>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</si>
  <si>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</si>
  <si>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</si>
  <si>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</si>
  <si>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</si>
  <si>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</si>
  <si>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</si>
  <si>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</si>
  <si>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</si>
  <si>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</si>
  <si>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</si>
  <si>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</si>
  <si>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</si>
  <si>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</si>
  <si>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</si>
  <si>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</si>
  <si>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</si>
  <si>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</si>
  <si>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</si>
  <si>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</si>
  <si>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</si>
  <si>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</si>
  <si>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</si>
  <si>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</si>
  <si>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</si>
  <si>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</si>
  <si>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</si>
  <si>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</si>
  <si>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</si>
  <si>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</si>
  <si>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</si>
  <si>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</si>
  <si>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</si>
  <si>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</si>
  <si>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</si>
  <si>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</si>
  <si>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</si>
  <si>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</si>
  <si>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</si>
  <si>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</si>
  <si>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</si>
  <si>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</si>
  <si>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</si>
  <si>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</si>
  <si>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</si>
  <si>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</si>
  <si>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</si>
  <si>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</si>
  <si>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</si>
  <si>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</si>
  <si>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</si>
  <si>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</si>
  <si>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</si>
  <si>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</si>
  <si>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</si>
  <si>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</si>
  <si>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</si>
  <si>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</si>
  <si>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</si>
  <si>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</si>
  <si>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</si>
  <si>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</si>
  <si>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</si>
  <si>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</si>
  <si>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</si>
  <si>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</si>
  <si>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</si>
  <si>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</si>
  <si>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</si>
  <si>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</si>
  <si>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</si>
  <si>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</si>
  <si>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</si>
  <si>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</si>
  <si>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</si>
  <si>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</si>
  <si>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</si>
  <si>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</si>
  <si>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</si>
  <si>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</si>
  <si>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</si>
  <si>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</si>
  <si>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</si>
  <si>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</si>
  <si>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</si>
  <si>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</si>
  <si>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</si>
  <si>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</si>
  <si>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</si>
  <si>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</si>
  <si>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</si>
  <si>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</si>
  <si>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</si>
  <si>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</si>
  <si>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</si>
  <si>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</si>
  <si>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</si>
  <si>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</si>
  <si>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</si>
  <si>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</si>
  <si>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</si>
  <si>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</si>
  <si>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</si>
  <si>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</si>
  <si>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</si>
  <si>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</si>
  <si>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</si>
  <si>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</si>
  <si>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</si>
  <si>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</si>
  <si>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</si>
  <si>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</si>
  <si>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</si>
  <si>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</si>
  <si>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</si>
  <si>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</si>
  <si>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</si>
  <si>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</si>
  <si>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</si>
  <si>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</si>
  <si>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</si>
  <si>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</si>
  <si>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</si>
  <si>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</si>
  <si>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</si>
  <si>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</si>
  <si>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</si>
  <si>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</si>
  <si>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</si>
  <si>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</si>
  <si>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</si>
  <si>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</si>
  <si>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</si>
  <si>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</si>
  <si>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</si>
  <si>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</si>
  <si>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</si>
  <si>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</si>
  <si>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</si>
  <si>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</si>
  <si>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</si>
  <si>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</si>
  <si>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</si>
  <si>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</si>
  <si>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</si>
  <si>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</si>
  <si>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</si>
  <si>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</si>
  <si>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</si>
  <si>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</si>
  <si>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</si>
  <si>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</si>
  <si>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</si>
  <si>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</si>
  <si>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</si>
  <si>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</si>
  <si>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</si>
  <si>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</si>
  <si>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</si>
  <si>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</si>
  <si>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</si>
  <si>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</si>
  <si>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</si>
  <si>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</si>
  <si>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</si>
  <si>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</si>
  <si>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</si>
  <si>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</si>
  <si>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</si>
  <si>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</si>
  <si>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</si>
  <si>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</si>
  <si>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</si>
  <si>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</si>
  <si>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</si>
  <si>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</si>
  <si>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</si>
  <si>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</si>
  <si>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</si>
  <si>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</si>
  <si>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</si>
  <si>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</si>
  <si>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</si>
  <si>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</si>
  <si>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</si>
  <si>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</si>
  <si>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</si>
  <si>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</si>
  <si>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</si>
  <si>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</si>
  <si>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</si>
  <si>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</si>
  <si>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</si>
  <si>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</si>
  <si>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</si>
  <si>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</si>
  <si>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</si>
  <si>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</si>
  <si>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</si>
  <si>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</si>
  <si>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</si>
  <si>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</si>
  <si>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</si>
  <si>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</si>
  <si>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</si>
  <si>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</si>
  <si>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</si>
  <si>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</si>
  <si>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</si>
  <si>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</si>
  <si>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</si>
  <si>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</si>
  <si>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</si>
  <si>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</si>
  <si>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</si>
  <si>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</si>
  <si>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</si>
  <si>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</si>
  <si>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</si>
  <si>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</si>
  <si>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</si>
  <si>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</si>
  <si>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</si>
  <si>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</si>
  <si>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</si>
  <si>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</si>
  <si>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</si>
  <si>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</si>
  <si>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</si>
  <si>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</si>
  <si>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</si>
  <si>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</si>
  <si>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</si>
  <si>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</si>
  <si>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</si>
  <si>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</si>
  <si>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</si>
  <si>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</si>
  <si>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</si>
  <si>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</si>
  <si>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</si>
  <si>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</si>
  <si>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</si>
  <si>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</si>
  <si>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</si>
  <si>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</si>
  <si>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</si>
  <si>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</si>
  <si>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</si>
  <si>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</si>
  <si>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</si>
  <si>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</si>
  <si>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</si>
  <si>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</si>
  <si>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</si>
  <si>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</si>
  <si>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</si>
  <si>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</si>
  <si>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</si>
  <si>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</si>
  <si>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</si>
  <si>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</si>
  <si>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</si>
  <si>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</si>
  <si>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</si>
  <si>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</si>
  <si>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</si>
  <si>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</si>
  <si>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</si>
  <si>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</si>
  <si>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</si>
  <si>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</si>
  <si>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</si>
  <si>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</si>
  <si>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</si>
  <si>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</si>
  <si>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</si>
  <si>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</si>
  <si>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</si>
  <si>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</si>
  <si>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</si>
  <si>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</si>
  <si>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</si>
  <si>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</si>
  <si>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</si>
  <si>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</si>
  <si>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</si>
  <si>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</si>
  <si>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</si>
  <si>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</si>
  <si>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</si>
  <si>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</si>
  <si>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</si>
  <si>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</si>
  <si>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</si>
  <si>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</si>
  <si>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</si>
  <si>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</si>
  <si>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</si>
  <si>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</si>
  <si>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</si>
  <si>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</si>
  <si>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</si>
  <si>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</si>
  <si>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</si>
  <si>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</si>
  <si>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</si>
  <si>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</si>
  <si>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</si>
  <si>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</si>
  <si>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</si>
  <si>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</si>
  <si>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</si>
  <si>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</si>
  <si>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</si>
  <si>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</si>
  <si>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</si>
  <si>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</si>
  <si>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</si>
  <si>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</si>
  <si>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</si>
  <si>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</si>
  <si>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</si>
  <si>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</si>
  <si>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</si>
  <si>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</si>
  <si>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</si>
  <si>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</si>
  <si>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</si>
  <si>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</si>
  <si>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</si>
  <si>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</si>
  <si>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</si>
  <si>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</si>
  <si>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</si>
  <si>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</si>
  <si>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</si>
  <si>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</si>
  <si>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</si>
  <si>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</si>
  <si>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</si>
  <si>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</si>
  <si>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</si>
  <si>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</si>
  <si>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</si>
  <si>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</si>
  <si>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</si>
  <si>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</si>
  <si>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</si>
  <si>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</si>
  <si>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</si>
  <si>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</si>
  <si>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</si>
  <si>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</si>
  <si>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</si>
  <si>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</si>
  <si>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</si>
  <si>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</si>
  <si>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</si>
  <si>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</si>
  <si>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</si>
  <si>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</si>
  <si>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</si>
  <si>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</si>
  <si>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</si>
  <si>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</si>
  <si>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</si>
  <si>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</si>
  <si>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</si>
  <si>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</si>
  <si>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</si>
  <si>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</si>
  <si>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</si>
  <si>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</si>
  <si>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</si>
  <si>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</si>
  <si>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</si>
  <si>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</si>
  <si>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</si>
  <si>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</si>
  <si>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</si>
  <si>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</si>
  <si>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</si>
  <si>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</si>
  <si>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</si>
  <si>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</si>
  <si>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</si>
  <si>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</si>
  <si>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</si>
  <si>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</si>
  <si>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</si>
  <si>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</si>
  <si>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</si>
  <si>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</si>
  <si>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</si>
  <si>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</si>
  <si>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</si>
  <si>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</si>
  <si>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</si>
  <si>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</si>
  <si>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</si>
  <si>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</si>
  <si>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</si>
  <si>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</si>
  <si>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</si>
  <si>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</si>
  <si>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</si>
  <si>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</si>
  <si>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</si>
  <si>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</si>
  <si>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</si>
  <si>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</si>
  <si>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</si>
  <si>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</si>
  <si>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</si>
  <si>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</si>
  <si>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</si>
  <si>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</si>
  <si>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</si>
  <si>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</si>
  <si>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</si>
  <si>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</si>
  <si>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</si>
  <si>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</si>
  <si>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</si>
  <si>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</si>
  <si>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</si>
  <si>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</si>
  <si>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</si>
  <si>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</si>
  <si>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</si>
  <si>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</si>
  <si>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</si>
  <si>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</si>
  <si>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</si>
  <si>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</si>
  <si>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</si>
  <si>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</si>
  <si>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</si>
  <si>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</si>
  <si>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</si>
  <si>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</si>
  <si>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</si>
  <si>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</si>
  <si>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</si>
  <si>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</si>
  <si>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</si>
  <si>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</si>
  <si>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</si>
  <si>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</si>
  <si>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</si>
  <si>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</si>
  <si>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</si>
  <si>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</si>
  <si>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</si>
  <si>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</si>
  <si>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</si>
  <si>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</si>
  <si>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</si>
  <si>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</si>
  <si>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</si>
  <si>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</si>
  <si>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</si>
  <si>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</si>
  <si>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</si>
  <si>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</si>
  <si>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</si>
  <si>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</si>
  <si>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</si>
  <si>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</si>
  <si>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</si>
  <si>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</si>
  <si>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</si>
  <si>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</si>
  <si>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</si>
  <si>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</si>
  <si>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</si>
  <si>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</si>
  <si>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</si>
  <si>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</si>
  <si>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</si>
  <si>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</si>
  <si>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</si>
  <si>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</si>
  <si>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</si>
  <si>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</si>
  <si>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</si>
  <si>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</si>
  <si>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</si>
  <si>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</si>
  <si>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</si>
  <si>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</si>
  <si>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</si>
  <si>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</si>
  <si>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</si>
  <si>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</si>
  <si>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</si>
  <si>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</si>
  <si>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</si>
  <si>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</si>
  <si>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</si>
  <si>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</si>
  <si>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</si>
  <si>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</si>
  <si>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</si>
  <si>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</si>
  <si>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</si>
  <si>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</si>
  <si>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</si>
  <si>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</si>
  <si>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</si>
  <si>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</si>
  <si>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</si>
  <si>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</si>
  <si>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</si>
  <si>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</si>
  <si>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</si>
  <si>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</si>
  <si>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</si>
  <si>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</si>
  <si>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</si>
  <si>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</si>
  <si>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</si>
  <si>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</si>
  <si>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</si>
  <si>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</si>
  <si>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</si>
  <si>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</si>
  <si>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</si>
  <si>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</si>
  <si>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</si>
  <si>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</si>
  <si>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</si>
  <si>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</si>
  <si>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</si>
  <si>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</si>
  <si>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</si>
  <si>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</si>
  <si>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</si>
  <si>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</si>
  <si>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</si>
  <si>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</si>
  <si>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</si>
  <si>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</si>
  <si>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</si>
  <si>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</si>
  <si>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</si>
  <si>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</si>
  <si>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</si>
  <si>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</si>
  <si>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</si>
  <si>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</si>
  <si>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</si>
  <si>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</si>
  <si>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</si>
  <si>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</si>
  <si>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</si>
  <si>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</si>
  <si>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</si>
  <si>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</si>
  <si>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</si>
  <si>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</si>
  <si>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</si>
  <si>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</si>
  <si>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</si>
  <si>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</si>
  <si>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</si>
  <si>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</si>
  <si>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</si>
  <si>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</si>
  <si>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</si>
  <si>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</si>
  <si>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</si>
  <si>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</si>
  <si>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</si>
  <si>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</si>
  <si>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</si>
  <si>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</si>
  <si>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</si>
  <si>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</si>
  <si>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</si>
  <si>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</si>
  <si>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</si>
  <si>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</si>
  <si>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</si>
  <si>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</si>
  <si>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</si>
  <si>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</si>
  <si>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</si>
  <si>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</si>
  <si>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</si>
  <si>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</si>
  <si>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</si>
  <si>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</si>
  <si>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</si>
  <si>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</si>
  <si>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</si>
  <si>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</si>
  <si>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</si>
  <si>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</si>
  <si>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</si>
  <si>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</si>
  <si>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</si>
  <si>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</si>
  <si>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</si>
  <si>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</si>
  <si>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</si>
  <si>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</si>
  <si>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</si>
  <si>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</si>
  <si>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</si>
  <si>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</si>
  <si>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</si>
  <si>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</si>
  <si>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</si>
  <si>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</si>
  <si>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</si>
  <si>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</si>
  <si>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</si>
  <si>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</si>
  <si>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</si>
  <si>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</si>
  <si>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</si>
  <si>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</si>
  <si>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</si>
  <si>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</si>
  <si>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</si>
  <si>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</si>
  <si>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</si>
  <si>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</si>
  <si>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</si>
  <si>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</si>
  <si>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</si>
  <si>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</si>
  <si>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</si>
  <si>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</si>
  <si>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</si>
  <si>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</si>
  <si>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</si>
  <si>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</si>
  <si>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</si>
  <si>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</si>
  <si>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</si>
  <si>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</si>
  <si>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</si>
  <si>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</si>
  <si>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</si>
  <si>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</si>
  <si>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</si>
  <si>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</si>
  <si>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</si>
  <si>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</si>
  <si>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</si>
  <si>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</si>
  <si>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</si>
  <si>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</si>
  <si>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</si>
  <si>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</si>
  <si>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</si>
  <si>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</si>
  <si>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</si>
  <si>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</si>
  <si>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</si>
  <si>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</si>
  <si>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</si>
  <si>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</si>
  <si>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</si>
  <si>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</si>
  <si>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</si>
  <si>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</si>
  <si>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</si>
  <si>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</si>
  <si>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</si>
  <si>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</si>
  <si>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</si>
  <si>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</si>
  <si>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</si>
  <si>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</si>
  <si>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</si>
  <si>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</si>
  <si>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</si>
  <si>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</si>
  <si>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</si>
  <si>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</si>
  <si>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</si>
  <si>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</si>
  <si>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</si>
  <si>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</si>
  <si>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</si>
  <si>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</si>
  <si>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</si>
  <si>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</si>
  <si>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</si>
  <si>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</si>
  <si>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</si>
  <si>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</si>
  <si>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</si>
  <si>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</si>
  <si>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</si>
  <si>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</si>
  <si>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</si>
  <si>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</si>
  <si>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</si>
  <si>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</si>
  <si>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</si>
  <si>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</si>
  <si>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</si>
  <si>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</si>
  <si>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</si>
  <si>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</si>
  <si>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</si>
  <si>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</si>
  <si>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</si>
  <si>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</si>
  <si>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</si>
  <si>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</si>
  <si>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</si>
  <si>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</si>
  <si>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</si>
  <si>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</si>
  <si>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</si>
  <si>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</si>
  <si>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</si>
  <si>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</si>
  <si>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</si>
  <si>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</si>
  <si>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</si>
  <si>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</si>
  <si>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</si>
  <si>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</si>
  <si>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</si>
  <si>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</si>
  <si>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</si>
  <si>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</si>
  <si>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</si>
  <si>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</si>
  <si>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</si>
  <si>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</si>
  <si>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</si>
  <si>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</si>
  <si>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</si>
  <si>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</si>
  <si>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</si>
  <si>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</si>
  <si>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</si>
  <si>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</si>
  <si>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</si>
  <si>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</si>
  <si>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</si>
  <si>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</si>
  <si>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</si>
  <si>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</si>
  <si>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</si>
  <si>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</si>
  <si>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</si>
  <si>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</si>
  <si>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</si>
  <si>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</si>
  <si>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</si>
  <si>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</si>
  <si>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</si>
  <si>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</si>
  <si>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</si>
  <si>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</si>
  <si>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</si>
  <si>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</si>
  <si>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</si>
  <si>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</si>
  <si>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</si>
  <si>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</si>
  <si>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</si>
  <si>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</si>
  <si>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</si>
  <si>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</si>
  <si>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</si>
  <si>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</si>
  <si>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</si>
  <si>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</si>
  <si>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</si>
  <si>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</si>
  <si>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</si>
  <si>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</si>
  <si>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</si>
  <si>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</si>
  <si>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</si>
  <si>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</si>
  <si>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</si>
  <si>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</si>
  <si>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</si>
  <si>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</si>
  <si>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</si>
  <si>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</si>
  <si>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</si>
  <si>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</si>
  <si>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</si>
  <si>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</si>
  <si>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</si>
  <si>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</si>
  <si>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</si>
  <si>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</si>
  <si>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</si>
  <si>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</si>
  <si>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</si>
  <si>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</si>
  <si>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</si>
  <si>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</si>
  <si>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</si>
  <si>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</si>
  <si>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</si>
  <si>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</si>
  <si>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</si>
  <si>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</si>
  <si>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</si>
  <si>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</si>
  <si>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</si>
  <si>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</si>
  <si>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</si>
  <si>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</si>
  <si>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</si>
  <si>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</si>
  <si>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</si>
  <si>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</si>
  <si>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</si>
  <si>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</si>
  <si>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</si>
  <si>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</si>
  <si>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</si>
  <si>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</si>
  <si>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</si>
  <si>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</si>
  <si>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</si>
  <si>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</si>
  <si>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</si>
  <si>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</si>
  <si>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</si>
  <si>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</si>
  <si>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</si>
  <si>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</si>
  <si>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</si>
  <si>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</si>
  <si>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</si>
  <si>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</si>
  <si>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</si>
  <si>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</si>
  <si>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</si>
  <si>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</si>
  <si>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</si>
  <si>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</si>
  <si>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</si>
  <si>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</si>
  <si>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</si>
  <si>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</si>
  <si>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</si>
  <si>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</si>
  <si>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</si>
  <si>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</si>
  <si>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</si>
  <si>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</si>
  <si>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</si>
  <si>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</si>
  <si>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</si>
  <si>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</si>
  <si>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</si>
  <si>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</si>
  <si>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</si>
  <si>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</si>
  <si>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</si>
  <si>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</si>
  <si>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</si>
  <si>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</si>
  <si>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</si>
  <si>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</si>
  <si>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</si>
  <si>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</si>
  <si>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</si>
  <si>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</si>
  <si>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</si>
  <si>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</si>
  <si>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</si>
  <si>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</si>
  <si>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</si>
  <si>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</si>
  <si>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</si>
  <si>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</si>
  <si>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</si>
  <si>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</si>
  <si>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</si>
  <si>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</si>
  <si>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</si>
  <si>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</si>
  <si>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</si>
  <si>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</si>
  <si>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</si>
  <si>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</si>
  <si>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</si>
  <si>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</si>
  <si>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</si>
  <si>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</si>
  <si>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</si>
  <si>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</si>
  <si>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</si>
  <si>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</si>
  <si>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</si>
  <si>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</si>
  <si>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</si>
  <si>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</si>
  <si>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</si>
  <si>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</si>
  <si>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</si>
  <si>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</si>
  <si>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</si>
  <si>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</si>
  <si>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</si>
  <si>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</si>
  <si>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</si>
  <si>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</si>
  <si>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</si>
  <si>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</si>
  <si>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</si>
  <si>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</si>
  <si>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</si>
  <si>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</si>
  <si>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</si>
  <si>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</si>
  <si>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</si>
  <si>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</si>
  <si>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</si>
  <si>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</si>
  <si>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</si>
  <si>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</si>
  <si>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</si>
  <si>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</si>
  <si>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</si>
  <si>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</si>
  <si>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</si>
  <si>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</si>
  <si>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</si>
  <si>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</si>
  <si>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</si>
  <si>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</si>
  <si>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</si>
  <si>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</si>
  <si>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</si>
  <si>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</si>
  <si>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</si>
  <si>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</si>
  <si>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</si>
  <si>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</si>
  <si>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</si>
  <si>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</si>
  <si>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</si>
  <si>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</si>
  <si>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</si>
  <si>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</si>
  <si>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</si>
  <si>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</si>
  <si>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</si>
  <si>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</si>
  <si>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</si>
  <si>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</si>
  <si>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</si>
  <si>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</si>
  <si>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</si>
  <si>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</si>
  <si>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</si>
  <si>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</si>
  <si>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</si>
  <si>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</si>
  <si>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</si>
  <si>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</si>
  <si>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</si>
  <si>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</si>
  <si>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</si>
  <si>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</si>
  <si>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</si>
  <si>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</si>
  <si>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</si>
  <si>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</si>
  <si>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</si>
  <si>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</si>
  <si>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</si>
  <si>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</si>
  <si>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</si>
  <si>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</si>
  <si>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</si>
  <si>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</si>
  <si>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</si>
  <si>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</si>
  <si>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</si>
  <si>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</si>
  <si>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</si>
  <si>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</si>
  <si>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</si>
  <si>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</si>
  <si>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</si>
  <si>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</si>
  <si>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</si>
  <si>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</si>
  <si>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</si>
  <si>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</si>
  <si>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</si>
  <si>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</si>
  <si>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</si>
  <si>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</si>
  <si>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</si>
  <si>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</si>
  <si>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</si>
  <si>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</si>
  <si>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</si>
  <si>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</si>
  <si>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</si>
  <si>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</si>
  <si>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</si>
  <si>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</si>
  <si>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</si>
  <si>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</si>
  <si>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</si>
  <si>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</si>
  <si>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</si>
  <si>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</si>
  <si>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</si>
  <si>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</si>
  <si>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</si>
  <si>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</si>
  <si>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</si>
  <si>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</si>
  <si>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</si>
  <si>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</si>
  <si>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</si>
  <si>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</si>
  <si>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</si>
  <si>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</si>
  <si>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</si>
  <si>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</si>
  <si>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</si>
  <si>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</si>
  <si>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</si>
  <si>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</si>
  <si>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</si>
  <si>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</si>
  <si>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</si>
  <si>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</si>
  <si>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</si>
  <si>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</si>
  <si>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</si>
  <si>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</si>
  <si>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</si>
  <si>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</si>
  <si>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</si>
  <si>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</si>
  <si>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</si>
  <si>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</si>
  <si>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</si>
  <si>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</si>
  <si>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</si>
  <si>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</si>
  <si>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</si>
  <si>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</si>
  <si>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</si>
  <si>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</si>
  <si>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</si>
  <si>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</si>
  <si>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</si>
  <si>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</si>
  <si>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</si>
  <si>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</si>
  <si>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</si>
  <si>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</si>
  <si>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</si>
  <si>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</si>
  <si>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</si>
  <si>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</si>
  <si>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</si>
  <si>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</si>
  <si>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</si>
  <si>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</si>
  <si>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</si>
  <si>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</si>
  <si>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</si>
  <si>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</si>
  <si>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</si>
  <si>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</si>
  <si>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</si>
  <si>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</si>
  <si>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</si>
  <si>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</si>
  <si>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</si>
  <si>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</si>
  <si>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</si>
  <si>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</si>
  <si>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</si>
  <si>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</si>
  <si>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</si>
  <si>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</si>
  <si>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</si>
  <si>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</si>
  <si>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</si>
  <si>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</si>
  <si>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</si>
  <si>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</si>
  <si>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</si>
  <si>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</si>
  <si>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</si>
  <si>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</si>
  <si>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</si>
  <si>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</si>
  <si>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</si>
  <si>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</si>
  <si>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</si>
  <si>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</si>
  <si>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</si>
  <si>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</si>
  <si>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</si>
  <si>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</si>
  <si>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</si>
  <si>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</si>
  <si>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</si>
  <si>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</si>
  <si>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</si>
  <si>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</si>
  <si>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</si>
  <si>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</si>
  <si>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</si>
  <si>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</si>
  <si>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</si>
  <si>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</si>
  <si>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</si>
  <si>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</si>
  <si>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</si>
  <si>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</si>
  <si>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</si>
  <si>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</si>
  <si>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</si>
  <si>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</si>
  <si>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</si>
  <si>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</si>
  <si>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</si>
  <si>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</si>
  <si>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</si>
  <si>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</si>
  <si>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</si>
  <si>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</si>
  <si>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</si>
  <si>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</si>
  <si>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</si>
  <si>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</si>
  <si>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</si>
  <si>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</si>
  <si>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</si>
  <si>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</si>
  <si>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</si>
  <si>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</si>
  <si>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</si>
  <si>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</si>
  <si>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</si>
  <si>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</si>
  <si>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</si>
  <si>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</si>
  <si>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</si>
  <si>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</si>
  <si>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</si>
  <si>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</si>
  <si>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</si>
  <si>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</si>
  <si>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</si>
  <si>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</si>
  <si>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</si>
  <si>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</si>
  <si>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</si>
  <si>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</si>
  <si>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</si>
  <si>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</si>
  <si>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</si>
  <si>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</si>
  <si>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</si>
  <si>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</si>
  <si>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</si>
  <si>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</si>
  <si>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</si>
  <si>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</si>
  <si>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</si>
  <si>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</si>
  <si>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</si>
  <si>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</si>
  <si>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</si>
  <si>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</si>
  <si>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</si>
  <si>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</si>
  <si>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</si>
  <si>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</si>
  <si>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</si>
  <si>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</si>
  <si>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</si>
  <si>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</si>
  <si>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</si>
  <si>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</si>
  <si>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</si>
  <si>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</si>
  <si>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</si>
  <si>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</si>
  <si>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</si>
  <si>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</si>
  <si>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</si>
  <si>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</si>
  <si>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</si>
  <si>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</si>
  <si>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</si>
  <si>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</si>
  <si>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</si>
  <si>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</si>
  <si>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</si>
  <si>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</si>
  <si>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</si>
  <si>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</si>
  <si>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</si>
  <si>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</si>
  <si>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</si>
  <si>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</si>
  <si>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</si>
  <si>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</si>
  <si>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</si>
  <si>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</si>
  <si>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</si>
  <si>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</si>
  <si>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</si>
  <si>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</si>
  <si>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</si>
  <si>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</si>
  <si>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</si>
  <si>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</si>
  <si>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</si>
  <si>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</si>
  <si>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</si>
  <si>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</si>
  <si>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</si>
  <si>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</si>
  <si>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</si>
  <si>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</si>
  <si>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</si>
  <si>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</si>
  <si>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</si>
  <si>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</si>
  <si>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</si>
  <si>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</si>
  <si>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</si>
  <si>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</si>
  <si>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</si>
  <si>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</si>
  <si>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</si>
  <si>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</si>
  <si>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</si>
  <si>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</si>
  <si>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</si>
  <si>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</si>
  <si>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</si>
  <si>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</si>
  <si>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</si>
  <si>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</si>
  <si>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</si>
  <si>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</si>
  <si>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</si>
  <si>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</si>
  <si>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</si>
  <si>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</si>
  <si>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</si>
  <si>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</si>
  <si>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</si>
  <si>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</si>
  <si>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</si>
  <si>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</si>
  <si>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</si>
  <si>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</si>
  <si>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</si>
  <si>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</si>
  <si>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</si>
  <si>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</si>
  <si>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</si>
  <si>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</si>
  <si>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</si>
  <si>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</si>
  <si>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</si>
  <si>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</si>
  <si>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</si>
  <si>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</si>
  <si>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</si>
  <si>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</si>
  <si>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</si>
  <si>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</si>
  <si>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</si>
  <si>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</si>
  <si>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</si>
  <si>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</si>
  <si>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</si>
  <si>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</si>
  <si>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</si>
  <si>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</si>
  <si>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</si>
  <si>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</si>
  <si>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</si>
  <si>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</si>
  <si>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</si>
  <si>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</si>
  <si>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</si>
  <si>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</si>
  <si>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</si>
  <si>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</si>
  <si>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</si>
  <si>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</si>
  <si>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</si>
  <si>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</si>
  <si>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</si>
  <si>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</si>
  <si>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</si>
  <si>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</si>
  <si>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</si>
  <si>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</si>
  <si>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</si>
  <si>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</si>
  <si>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</si>
  <si>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</si>
  <si>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</si>
  <si>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</si>
  <si>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</si>
  <si>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</si>
  <si>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</si>
  <si>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</si>
  <si>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</si>
  <si>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</si>
  <si>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</si>
  <si>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</si>
  <si>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</si>
  <si>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</si>
  <si>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</si>
  <si>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</si>
  <si>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</si>
  <si>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</si>
  <si>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</si>
  <si>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</si>
  <si>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</si>
  <si>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</si>
  <si>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</si>
  <si>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</si>
  <si>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</si>
  <si>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</si>
  <si>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</si>
  <si>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</si>
  <si>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</si>
  <si>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</si>
  <si>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</si>
  <si>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</si>
  <si>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</si>
  <si>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</si>
  <si>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</si>
  <si>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</si>
  <si>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</si>
  <si>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</si>
  <si>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</si>
  <si>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</si>
  <si>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</si>
  <si>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</si>
  <si>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</si>
  <si>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</si>
  <si>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</si>
  <si>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</si>
  <si>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</si>
  <si>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</si>
  <si>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</si>
  <si>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</si>
  <si>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</si>
  <si>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</si>
  <si>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</si>
  <si>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</si>
  <si>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</si>
  <si>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</si>
  <si>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</si>
  <si>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</si>
  <si>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</si>
  <si>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</si>
  <si>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</si>
  <si>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</si>
  <si>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</si>
  <si>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</si>
  <si>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</si>
  <si>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</si>
  <si>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</si>
  <si>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</si>
  <si>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</si>
  <si>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</si>
  <si>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</si>
  <si>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</si>
  <si>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</si>
  <si>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</si>
  <si>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</si>
  <si>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</si>
  <si>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</si>
  <si>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</si>
  <si>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</si>
  <si>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</si>
  <si>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</si>
  <si>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</si>
  <si>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</si>
  <si>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</si>
  <si>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</si>
  <si>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</si>
  <si>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</si>
  <si>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</si>
  <si>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</si>
  <si>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</si>
  <si>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</si>
  <si>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</si>
  <si>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</si>
  <si>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</si>
  <si>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</si>
  <si>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</si>
  <si>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</si>
  <si>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</si>
  <si>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</si>
  <si>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</si>
  <si>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</si>
  <si>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</si>
  <si>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</si>
  <si>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</si>
  <si>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</si>
  <si>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</si>
  <si>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</si>
  <si>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</si>
  <si>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</si>
  <si>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</si>
  <si>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</si>
  <si>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</si>
  <si>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</si>
  <si>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</si>
  <si>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</si>
  <si>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</si>
  <si>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</si>
  <si>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</si>
  <si>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</si>
  <si>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</si>
  <si>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</si>
  <si>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</si>
  <si>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</si>
  <si>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</si>
  <si>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</si>
  <si>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</si>
  <si>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</si>
  <si>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</si>
  <si>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</si>
  <si>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</si>
  <si>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</si>
  <si>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</si>
  <si>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</si>
  <si>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</si>
  <si>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</si>
  <si>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</si>
  <si>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</si>
  <si>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</si>
  <si>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</si>
  <si>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</si>
  <si>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</si>
  <si>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</si>
  <si>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</si>
  <si>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</si>
  <si>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</si>
  <si>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</si>
  <si>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</si>
  <si>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</si>
  <si>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</si>
  <si>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</si>
  <si>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</si>
  <si>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</si>
  <si>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</si>
  <si>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</si>
  <si>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</si>
  <si>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</si>
  <si>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</si>
  <si>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</si>
  <si>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</si>
  <si>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</si>
  <si>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</si>
  <si>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</si>
  <si>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</si>
  <si>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</si>
  <si>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</si>
  <si>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</si>
  <si>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</si>
  <si>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</si>
  <si>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</si>
  <si>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</si>
  <si>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</si>
  <si>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</si>
  <si>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</si>
  <si>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</si>
  <si>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</si>
  <si>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</si>
  <si>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</si>
  <si>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</si>
  <si>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</si>
  <si>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</si>
  <si>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</si>
  <si>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</si>
  <si>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</si>
  <si>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</si>
  <si>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</si>
  <si>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</si>
  <si>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</si>
  <si>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</si>
  <si>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</si>
  <si>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</si>
  <si>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</si>
  <si>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</si>
  <si>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</si>
  <si>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</si>
  <si>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</si>
  <si>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</si>
  <si>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</si>
  <si>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</si>
  <si>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</si>
  <si>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</si>
  <si>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</si>
  <si>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</si>
  <si>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</si>
  <si>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</si>
  <si>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</si>
  <si>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</si>
  <si>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</si>
  <si>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</si>
  <si>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</si>
  <si>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</si>
  <si>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</si>
  <si>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</si>
  <si>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</si>
  <si>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</si>
  <si>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</si>
  <si>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</si>
  <si>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</si>
  <si>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</si>
  <si>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</si>
  <si>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</si>
  <si>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</si>
  <si>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</si>
  <si>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</si>
  <si>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</si>
  <si>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</si>
  <si>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</si>
  <si>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</si>
  <si>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</si>
  <si>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</si>
  <si>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</si>
  <si>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</si>
  <si>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</si>
  <si>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</si>
  <si>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</si>
  <si>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</si>
  <si>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</si>
  <si>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</si>
  <si>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</si>
  <si>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</si>
  <si>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</si>
  <si>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</si>
  <si>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</si>
  <si>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</si>
  <si>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</si>
  <si>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</si>
  <si>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</si>
  <si>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</si>
  <si>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</si>
  <si>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</si>
  <si>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</si>
  <si>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</si>
  <si>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</si>
  <si>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</si>
  <si>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</si>
  <si>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</si>
  <si>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</si>
  <si>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</si>
  <si>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</si>
  <si>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</si>
  <si>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</si>
  <si>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</si>
  <si>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</si>
  <si>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</si>
  <si>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</si>
  <si>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</si>
  <si>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</si>
  <si>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</si>
  <si>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</si>
  <si>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</si>
  <si>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</si>
  <si>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</si>
  <si>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</si>
  <si>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</si>
  <si>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</si>
  <si>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</si>
  <si>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</si>
  <si>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</si>
  <si>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</si>
  <si>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</si>
  <si>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</si>
  <si>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</si>
  <si>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</si>
  <si>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</si>
  <si>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</si>
  <si>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</si>
  <si>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</si>
  <si>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</si>
  <si>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</si>
  <si>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</si>
  <si>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</si>
  <si>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</si>
  <si>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</si>
  <si>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</si>
  <si>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</si>
  <si>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</si>
  <si>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</si>
  <si>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</si>
  <si>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</si>
  <si>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</si>
  <si>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</si>
  <si>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</si>
  <si>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</si>
  <si>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</si>
  <si>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</si>
  <si>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</si>
  <si>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</si>
  <si>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</si>
  <si>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</si>
  <si>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</si>
  <si>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</si>
  <si>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</si>
  <si>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</si>
  <si>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</si>
  <si>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</si>
  <si>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</si>
  <si>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</si>
  <si>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</si>
  <si>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</si>
  <si>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</si>
  <si>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</si>
  <si>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</si>
  <si>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</si>
  <si>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</si>
  <si>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</si>
  <si>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</si>
  <si>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</si>
  <si>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</si>
  <si>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</si>
  <si>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</si>
  <si>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</si>
  <si>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</si>
  <si>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</si>
  <si>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</si>
  <si>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</si>
  <si>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</si>
  <si>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</si>
  <si>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</si>
  <si>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</si>
  <si>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</si>
  <si>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</si>
  <si>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</si>
  <si>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</si>
  <si>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</si>
  <si>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</si>
  <si>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</si>
  <si>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</si>
  <si>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</si>
  <si>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</si>
  <si>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</si>
  <si>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</si>
  <si>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</si>
  <si>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</si>
  <si>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</si>
  <si>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</si>
  <si>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</si>
  <si>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</si>
  <si>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</si>
  <si>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</si>
  <si>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</si>
  <si>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</si>
  <si>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</si>
  <si>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</si>
  <si>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</si>
  <si>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</si>
  <si>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</si>
  <si>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</si>
  <si>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</si>
  <si>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</si>
  <si>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</si>
  <si>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</si>
  <si>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</si>
  <si>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</si>
  <si>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</si>
  <si>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</si>
  <si>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</si>
  <si>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</si>
  <si>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</si>
  <si>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</si>
  <si>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</si>
  <si>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</si>
  <si>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</si>
  <si>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</si>
  <si>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</si>
  <si>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</si>
  <si>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</si>
  <si>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</si>
  <si>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</si>
  <si>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</si>
  <si>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</si>
  <si>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</si>
  <si>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</si>
  <si>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</si>
  <si>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</si>
  <si>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</si>
  <si>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</si>
  <si>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</si>
  <si>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</si>
  <si>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</si>
  <si>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</si>
  <si>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</si>
  <si>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</si>
  <si>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</si>
  <si>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</si>
  <si>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</si>
  <si>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</si>
  <si>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</si>
  <si>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</si>
  <si>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</si>
  <si>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</si>
  <si>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</si>
  <si>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</si>
  <si>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</si>
  <si>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</si>
  <si>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</si>
  <si>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</si>
  <si>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</si>
  <si>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</si>
  <si>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</si>
  <si>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</si>
  <si>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</si>
  <si>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</si>
  <si>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</si>
  <si>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</si>
  <si>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</si>
  <si>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</si>
  <si>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</si>
  <si>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</si>
  <si>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</si>
  <si>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</si>
  <si>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</si>
  <si>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</si>
  <si>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</si>
  <si>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</si>
  <si>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</si>
  <si>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</si>
  <si>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</si>
  <si>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</si>
  <si>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</si>
  <si>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</si>
  <si>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</si>
  <si>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</si>
  <si>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</si>
  <si>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</si>
  <si>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</si>
  <si>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</si>
  <si>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</si>
  <si>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</si>
  <si>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</si>
  <si>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</si>
  <si>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</si>
  <si>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</si>
  <si>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</si>
  <si>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</si>
  <si>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</si>
  <si>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</si>
  <si>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</si>
  <si>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</si>
  <si>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</si>
  <si>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</si>
  <si>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</si>
  <si>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</si>
  <si>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</si>
  <si>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</si>
  <si>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</si>
  <si>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</si>
  <si>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</si>
  <si>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</si>
  <si>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</si>
  <si>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</si>
  <si>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</si>
  <si>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</si>
  <si>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</si>
  <si>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</si>
  <si>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</si>
  <si>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</si>
  <si>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</si>
  <si>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</si>
  <si>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</si>
  <si>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</si>
  <si>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</si>
  <si>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</si>
  <si>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</si>
  <si>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</si>
  <si>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</si>
  <si>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</si>
  <si>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</si>
  <si>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</si>
  <si>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</si>
  <si>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</si>
  <si>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</si>
  <si>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</si>
  <si>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</si>
  <si>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</si>
  <si>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</si>
  <si>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</si>
  <si>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</si>
  <si>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</si>
  <si>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</si>
  <si>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</si>
  <si>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</si>
  <si>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</si>
  <si>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</si>
  <si>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</si>
  <si>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</si>
  <si>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</si>
  <si>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</si>
  <si>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</si>
  <si>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</si>
  <si>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</si>
  <si>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</si>
  <si>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</si>
  <si>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</si>
  <si>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</si>
  <si>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</si>
  <si>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</si>
  <si>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</si>
  <si>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</si>
  <si>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</si>
  <si>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</si>
  <si>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</si>
  <si>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</si>
  <si>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</si>
  <si>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</si>
  <si>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</si>
  <si>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</si>
  <si>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</si>
  <si>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</si>
  <si>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</si>
  <si>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</si>
  <si>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</si>
  <si>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</si>
  <si>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</si>
  <si>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</si>
  <si>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</si>
  <si>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</si>
  <si>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</si>
  <si>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</si>
  <si>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</si>
  <si>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</si>
  <si>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</si>
  <si>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</si>
  <si>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</si>
  <si>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</si>
  <si>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</si>
  <si>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</si>
  <si>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</si>
  <si>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</si>
  <si>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</si>
  <si>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</si>
  <si>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</si>
  <si>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</si>
  <si>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</si>
  <si>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</si>
  <si>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</si>
  <si>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</si>
  <si>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</si>
  <si>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</si>
  <si>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</si>
  <si>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</si>
  <si>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</si>
  <si>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</si>
  <si>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</si>
  <si>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</si>
  <si>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</si>
  <si>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</si>
  <si>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</si>
  <si>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</si>
  <si>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</si>
  <si>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</si>
  <si>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</si>
  <si>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</si>
  <si>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</si>
  <si>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</si>
  <si>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</si>
  <si>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</si>
  <si>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</si>
  <si>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</si>
  <si>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</si>
  <si>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</si>
  <si>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</si>
  <si>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</si>
  <si>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</si>
  <si>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</si>
  <si>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</si>
  <si>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</si>
  <si>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</si>
  <si>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</si>
  <si>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</si>
  <si>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</si>
  <si>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</si>
  <si>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</si>
  <si>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</si>
  <si>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</si>
  <si>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</si>
  <si>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</si>
  <si>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</si>
  <si>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</si>
  <si>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</si>
  <si>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</si>
  <si>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</si>
  <si>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</si>
  <si>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</si>
  <si>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</si>
  <si>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</si>
  <si>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</si>
  <si>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</si>
  <si>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</si>
  <si>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</si>
  <si>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</si>
  <si>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</si>
  <si>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</si>
  <si>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</si>
  <si>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</si>
  <si>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</si>
  <si>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</si>
  <si>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</si>
  <si>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</si>
  <si>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</si>
  <si>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</si>
  <si>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</si>
  <si>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</si>
  <si>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</si>
  <si>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</si>
  <si>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</si>
  <si>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</si>
  <si>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</si>
  <si>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</si>
  <si>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</si>
  <si>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</si>
  <si>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</si>
  <si>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</si>
  <si>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</si>
  <si>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</si>
  <si>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</si>
  <si>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</si>
  <si>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</si>
  <si>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</si>
  <si>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</si>
  <si>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</si>
  <si>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</si>
  <si>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</si>
  <si>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</si>
  <si>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</si>
  <si>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</si>
  <si>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</si>
  <si>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</si>
  <si>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</si>
  <si>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</si>
  <si>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</si>
  <si>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</si>
  <si>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</si>
  <si>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</si>
  <si>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</si>
  <si>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</si>
  <si>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</si>
  <si>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</si>
  <si>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</si>
  <si>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</si>
  <si>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</si>
  <si>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</si>
  <si>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</si>
  <si>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</si>
  <si>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</si>
  <si>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</si>
  <si>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</si>
  <si>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</si>
  <si>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</si>
  <si>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</si>
  <si>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</si>
  <si>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</si>
  <si>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</si>
  <si>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</si>
  <si>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</si>
  <si>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</si>
  <si>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</si>
  <si>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</si>
  <si>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</si>
  <si>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</si>
  <si>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</si>
  <si>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</si>
  <si>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</si>
  <si>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</si>
  <si>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</si>
  <si>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</si>
  <si>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</si>
  <si>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</si>
  <si>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</si>
  <si>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</si>
  <si>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</si>
  <si>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</si>
  <si>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</si>
  <si>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</si>
  <si>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</si>
  <si>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</si>
  <si>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</si>
  <si>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</si>
  <si>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</si>
  <si>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</si>
  <si>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</si>
  <si>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</si>
  <si>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</si>
  <si>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</si>
  <si>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</si>
  <si>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</si>
  <si>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</si>
  <si>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</si>
  <si>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</si>
  <si>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</si>
  <si>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</si>
  <si>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</si>
  <si>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</si>
  <si>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</si>
  <si>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</si>
  <si>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</si>
  <si>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</si>
  <si>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</si>
  <si>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</si>
  <si>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</si>
  <si>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</si>
  <si>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</si>
  <si>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</si>
  <si>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</si>
  <si>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</si>
  <si>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</si>
  <si>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</si>
  <si>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</si>
  <si>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</si>
  <si>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</si>
  <si>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</si>
  <si>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</si>
  <si>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</si>
  <si>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</si>
  <si>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</si>
  <si>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</si>
  <si>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</si>
  <si>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</si>
  <si>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</si>
  <si>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</si>
  <si>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</si>
  <si>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</si>
  <si>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</si>
  <si>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</si>
  <si>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</si>
  <si>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</si>
  <si>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</si>
  <si>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</si>
  <si>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</si>
  <si>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</si>
  <si>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</si>
  <si>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</si>
  <si>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</si>
  <si>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</si>
  <si>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</si>
  <si>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</si>
  <si>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</si>
  <si>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</si>
  <si>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</si>
  <si>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</si>
  <si>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</si>
  <si>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</si>
  <si>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</si>
  <si>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</si>
  <si>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</si>
  <si>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</si>
  <si>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</si>
  <si>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</si>
  <si>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</si>
  <si>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</si>
  <si>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</si>
  <si>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</si>
  <si>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</si>
  <si>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</si>
  <si>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</si>
  <si>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</si>
  <si>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</si>
  <si>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</si>
  <si>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</si>
  <si>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</si>
  <si>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</si>
  <si>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</si>
  <si>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</si>
  <si>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</si>
  <si>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</si>
  <si>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</si>
  <si>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</si>
  <si>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</si>
  <si>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</si>
  <si>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</si>
  <si>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</si>
  <si>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</si>
  <si>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</si>
  <si>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</si>
  <si>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</si>
  <si>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</si>
  <si>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</si>
  <si>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</si>
  <si>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</si>
  <si>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</si>
  <si>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</si>
  <si>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</si>
  <si>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</si>
  <si>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</si>
  <si>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</si>
  <si>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</si>
  <si>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</si>
  <si>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</si>
  <si>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</si>
  <si>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</si>
  <si>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</si>
  <si>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</si>
  <si>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</si>
  <si>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</si>
  <si>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</si>
  <si>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</si>
  <si>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</si>
  <si>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</si>
  <si>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</si>
  <si>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</si>
  <si>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</si>
  <si>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</si>
  <si>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</si>
  <si>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</si>
  <si>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</si>
  <si>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</si>
  <si>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</si>
  <si>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</si>
  <si>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</si>
  <si>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</si>
  <si>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</si>
  <si>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</si>
  <si>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</si>
  <si>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</si>
  <si>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</si>
  <si>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</si>
  <si>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</si>
  <si>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</si>
  <si>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</si>
  <si>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</si>
  <si>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</si>
  <si>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</si>
  <si>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</si>
  <si>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</si>
  <si>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</si>
  <si>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</si>
  <si>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</si>
  <si>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</si>
  <si>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</si>
  <si>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</si>
  <si>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</si>
  <si>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</si>
  <si>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</si>
  <si>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</si>
  <si>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</si>
  <si>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</si>
  <si>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</si>
  <si>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</si>
  <si>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</si>
  <si>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</si>
  <si>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</si>
  <si>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</si>
  <si>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</si>
  <si>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</si>
  <si>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</si>
  <si>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</si>
  <si>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</si>
  <si>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</si>
  <si>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</si>
  <si>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</si>
  <si>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</si>
  <si>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</si>
  <si>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</si>
  <si>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</si>
  <si>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</si>
  <si>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</si>
  <si>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</si>
  <si>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</si>
  <si>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</si>
  <si>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</si>
  <si>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</si>
  <si>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</si>
  <si>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</si>
  <si>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</si>
  <si>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</si>
  <si>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</si>
  <si>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</si>
  <si>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</si>
  <si>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</si>
  <si>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</si>
  <si>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</si>
  <si>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</si>
  <si>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</si>
  <si>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</si>
  <si>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</si>
  <si>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</si>
  <si>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</si>
  <si>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</si>
  <si>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</si>
  <si>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</si>
  <si>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</si>
  <si>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</si>
  <si>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</si>
  <si>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</si>
  <si>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</si>
  <si>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</si>
  <si>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</si>
  <si>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</si>
  <si>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</si>
  <si>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</si>
  <si>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</si>
  <si>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</si>
  <si>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</si>
  <si>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</si>
  <si>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</si>
  <si>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</si>
  <si>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</si>
  <si>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</si>
  <si>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</si>
  <si>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</si>
  <si>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</si>
  <si>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</si>
  <si>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</si>
  <si>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</si>
  <si>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</si>
  <si>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</si>
  <si>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</si>
  <si>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</si>
  <si>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</si>
  <si>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</si>
  <si>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</si>
  <si>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</si>
  <si>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</si>
  <si>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</si>
  <si>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</si>
  <si>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</si>
  <si>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</si>
  <si>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</si>
  <si>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</si>
  <si>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</si>
  <si>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</si>
  <si>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</si>
  <si>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</si>
  <si>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</si>
  <si>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</si>
  <si>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</si>
  <si>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</si>
  <si>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</si>
  <si>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</si>
  <si>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</si>
  <si>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</si>
  <si>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</si>
  <si>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</si>
  <si>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</si>
  <si>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</si>
  <si>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</si>
  <si>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</si>
  <si>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</si>
  <si>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</si>
  <si>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</si>
  <si>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</si>
  <si>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</si>
  <si>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</si>
  <si>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</si>
  <si>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</si>
  <si>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</si>
  <si>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</si>
  <si>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</si>
  <si>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</si>
  <si>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</si>
  <si>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</si>
  <si>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</si>
  <si>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</si>
  <si>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</si>
  <si>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</si>
  <si>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</si>
  <si>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</si>
  <si>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</si>
  <si>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</si>
  <si>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</si>
  <si>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</si>
  <si>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</si>
  <si>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</si>
  <si>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</si>
  <si>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</si>
  <si>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</si>
  <si>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</si>
  <si>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</si>
  <si>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</si>
  <si>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</si>
  <si>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</si>
  <si>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</si>
  <si>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</si>
  <si>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</si>
  <si>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</si>
  <si>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</si>
  <si>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</si>
  <si>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</si>
  <si>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</si>
  <si>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</si>
  <si>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</si>
  <si>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</si>
  <si>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</si>
  <si>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</si>
  <si>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</si>
  <si>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</si>
  <si>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</si>
  <si>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</si>
  <si>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</si>
  <si>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</si>
  <si>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</si>
  <si>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</si>
  <si>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</si>
  <si>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</si>
  <si>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</si>
  <si>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</si>
  <si>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</si>
  <si>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</si>
  <si>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</si>
  <si>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</si>
  <si>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</si>
  <si>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</si>
  <si>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</si>
  <si>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</si>
  <si>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</si>
  <si>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</si>
  <si>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</si>
  <si>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</si>
  <si>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</si>
  <si>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</si>
  <si>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</si>
  <si>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</si>
  <si>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</si>
  <si>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</si>
  <si>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</si>
  <si>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</si>
  <si>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</si>
  <si>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</si>
  <si>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</si>
  <si>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</si>
  <si>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</si>
  <si>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</si>
  <si>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</si>
  <si>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</si>
  <si>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</si>
  <si>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</si>
  <si>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</si>
  <si>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</si>
  <si>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</si>
  <si>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</si>
  <si>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</si>
  <si>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</si>
  <si>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</si>
  <si>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</si>
  <si>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</si>
  <si>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</si>
  <si>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</si>
  <si>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</si>
  <si>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</si>
  <si>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</si>
  <si>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</si>
  <si>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</si>
  <si>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</si>
  <si>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</si>
  <si>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</si>
  <si>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</si>
  <si>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</si>
  <si>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</si>
  <si>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</si>
  <si>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</si>
  <si>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</si>
  <si>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</si>
  <si>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</si>
  <si>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</si>
  <si>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</si>
  <si>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</si>
  <si>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</si>
  <si>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</si>
  <si>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</si>
  <si>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</si>
  <si>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</si>
  <si>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</si>
  <si>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</si>
  <si>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</si>
  <si>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</si>
  <si>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</si>
  <si>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</si>
  <si>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</si>
  <si>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</si>
  <si>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</si>
  <si>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</si>
  <si>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</si>
  <si>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</si>
  <si>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</si>
  <si>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</si>
  <si>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</si>
  <si>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</si>
  <si>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</si>
  <si>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</si>
  <si>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</si>
  <si>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</si>
  <si>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</si>
  <si>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</si>
  <si>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</si>
  <si>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</si>
  <si>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</si>
  <si>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</si>
  <si>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</si>
  <si>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</si>
  <si>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</si>
  <si>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</si>
  <si>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</si>
  <si>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</si>
  <si>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</si>
  <si>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</si>
  <si>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</si>
  <si>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</si>
  <si>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</si>
  <si>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</si>
  <si>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</si>
  <si>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</si>
  <si>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</si>
  <si>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</si>
  <si>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</si>
  <si>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</si>
  <si>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</si>
  <si>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</si>
  <si>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</si>
  <si>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</si>
  <si>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</si>
  <si>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</si>
  <si>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</si>
  <si>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</si>
  <si>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</si>
  <si>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</si>
  <si>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</si>
  <si>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</si>
  <si>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</si>
  <si>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</si>
  <si>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</si>
  <si>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</si>
  <si>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</si>
  <si>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</si>
  <si>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</si>
  <si>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</si>
  <si>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</si>
  <si>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</si>
  <si>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</si>
  <si>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</si>
  <si>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</si>
  <si>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</si>
  <si>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</si>
  <si>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</si>
  <si>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</si>
  <si>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</si>
  <si>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</si>
  <si>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</si>
  <si>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</si>
  <si>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</si>
  <si>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</si>
  <si>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</si>
  <si>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</si>
  <si>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</si>
  <si>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</si>
  <si>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</si>
  <si>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</si>
  <si>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</si>
  <si>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</si>
  <si>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</si>
  <si>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</si>
  <si>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</si>
  <si>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</si>
  <si>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</si>
  <si>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</si>
  <si>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</si>
  <si>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</si>
  <si>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</si>
  <si>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</si>
  <si>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</si>
  <si>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</si>
  <si>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</si>
  <si>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</si>
  <si>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</si>
  <si>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</si>
  <si>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</si>
  <si>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</si>
  <si>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</si>
  <si>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</si>
  <si>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</si>
  <si>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</si>
  <si>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</si>
  <si>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</si>
  <si>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</si>
  <si>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</si>
  <si>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</si>
  <si>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</si>
  <si>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</si>
  <si>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</si>
  <si>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</si>
  <si>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</si>
  <si>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</si>
  <si>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</si>
  <si>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</si>
  <si>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</si>
  <si>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</si>
  <si>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</si>
  <si>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</si>
  <si>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</si>
  <si>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</si>
  <si>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</si>
  <si>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</si>
  <si>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</si>
  <si>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</si>
  <si>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</si>
  <si>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</si>
  <si>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</si>
  <si>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</si>
  <si>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</si>
  <si>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</si>
  <si>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</si>
  <si>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</si>
  <si>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</si>
  <si>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</si>
  <si>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</si>
  <si>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</si>
  <si>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</si>
  <si>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</si>
  <si>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</si>
  <si>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</si>
  <si>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</si>
  <si>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</si>
  <si>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</si>
  <si>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</si>
  <si>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</si>
  <si>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</si>
  <si>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</si>
  <si>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</si>
  <si>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</si>
  <si>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</si>
  <si>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</si>
  <si>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</si>
  <si>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</si>
  <si>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</si>
  <si>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</si>
  <si>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</si>
  <si>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</si>
  <si>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</si>
  <si>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</si>
  <si>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</si>
  <si>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</si>
  <si>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</si>
  <si>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</si>
  <si>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</si>
  <si>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</si>
  <si>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</si>
  <si>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</si>
  <si>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</si>
  <si>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</si>
  <si>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</si>
  <si>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</si>
  <si>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</si>
  <si>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</si>
  <si>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</si>
  <si>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</si>
  <si>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</si>
  <si>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</si>
  <si>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</si>
  <si>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</si>
  <si>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</si>
  <si>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</si>
  <si>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</si>
  <si>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</si>
  <si>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</si>
  <si>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</si>
  <si>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</si>
  <si>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</si>
  <si>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</si>
  <si>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</si>
  <si>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</si>
  <si>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</si>
  <si>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</si>
  <si>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</si>
  <si>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</si>
  <si>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</si>
  <si>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</si>
  <si>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</si>
  <si>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</si>
  <si>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</si>
  <si>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</si>
  <si>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</si>
  <si>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</si>
  <si>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</si>
  <si>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</si>
  <si>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</si>
  <si>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</si>
  <si>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</si>
  <si>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</si>
  <si>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</si>
  <si>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</si>
  <si>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</si>
  <si>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</si>
  <si>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</si>
  <si>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</si>
  <si>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</si>
  <si>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</si>
  <si>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</si>
  <si>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</si>
  <si>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</si>
  <si>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</si>
  <si>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</si>
  <si>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</si>
  <si>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</si>
  <si>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</si>
  <si>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</si>
  <si>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</si>
  <si>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</si>
  <si>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</si>
  <si>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</si>
  <si>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</si>
  <si>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</si>
  <si>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</si>
  <si>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</si>
  <si>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</si>
  <si>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</si>
  <si>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</si>
  <si>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</si>
  <si>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</si>
  <si>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</si>
  <si>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</si>
  <si>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</si>
  <si>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</si>
  <si>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</si>
  <si>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</si>
  <si>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</si>
  <si>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</si>
  <si>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</si>
  <si>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</si>
  <si>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</si>
  <si>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</si>
  <si>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</si>
  <si>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</si>
  <si>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</si>
  <si>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</si>
  <si>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</si>
  <si>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</si>
  <si>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</si>
  <si>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</si>
  <si>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</si>
  <si>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</si>
  <si>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</si>
  <si>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</si>
  <si>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</si>
  <si>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</si>
  <si>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</si>
  <si>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</si>
  <si>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</si>
  <si>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</si>
  <si>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</si>
  <si>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</si>
  <si>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</si>
  <si>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</si>
  <si>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</si>
  <si>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</si>
  <si>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</si>
  <si>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</si>
  <si>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</si>
  <si>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</si>
  <si>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</si>
  <si>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</si>
  <si>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</si>
  <si>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</si>
  <si>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</si>
  <si>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</si>
  <si>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</si>
  <si>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</si>
  <si>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</si>
  <si>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</si>
  <si>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</si>
  <si>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</si>
  <si>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</si>
  <si>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</si>
  <si>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</si>
  <si>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</si>
  <si>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</si>
  <si>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</si>
  <si>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</si>
  <si>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</si>
  <si>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</si>
  <si>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</si>
  <si>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</si>
  <si>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</si>
  <si>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</si>
  <si>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</si>
  <si>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</si>
  <si>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</si>
  <si>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</si>
  <si>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</si>
  <si>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</si>
  <si>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</si>
  <si>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</si>
  <si>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</si>
  <si>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</si>
  <si>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</si>
  <si>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</si>
  <si>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</si>
  <si>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</si>
  <si>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</si>
  <si>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</si>
  <si>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</si>
  <si>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</si>
  <si>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</si>
  <si>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</si>
  <si>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</si>
  <si>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</si>
  <si>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</si>
  <si>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</si>
  <si>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</si>
  <si>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</si>
  <si>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</si>
  <si>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</si>
  <si>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</si>
  <si>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</si>
  <si>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</si>
  <si>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</si>
  <si>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</si>
  <si>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</si>
  <si>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</si>
  <si>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</si>
  <si>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</si>
  <si>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</si>
  <si>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</si>
  <si>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</si>
  <si>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</si>
  <si>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</si>
  <si>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</si>
  <si>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</si>
  <si>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</si>
  <si>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</si>
  <si>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</si>
  <si>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</si>
  <si>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</si>
  <si>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</si>
  <si>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</si>
  <si>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</si>
  <si>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</si>
  <si>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</si>
  <si>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</si>
  <si>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</si>
  <si>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</si>
  <si>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</si>
  <si>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</si>
  <si>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</si>
  <si>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</si>
  <si>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</si>
  <si>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</si>
  <si>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</si>
  <si>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</si>
  <si>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</si>
  <si>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</si>
  <si>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</si>
  <si>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</si>
  <si>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</si>
  <si>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</si>
  <si>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</si>
  <si>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</si>
  <si>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</si>
  <si>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</si>
  <si>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</si>
  <si>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</si>
  <si>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</si>
  <si>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</si>
  <si>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</si>
  <si>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</si>
  <si>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</si>
  <si>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</si>
  <si>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</si>
  <si>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</si>
  <si>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</si>
  <si>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</si>
  <si>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</si>
  <si>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</si>
  <si>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</si>
  <si>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</si>
  <si>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</si>
  <si>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</si>
  <si>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</si>
  <si>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</si>
  <si>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</si>
  <si>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</si>
  <si>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</si>
  <si>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</si>
  <si>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</si>
  <si>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</si>
  <si>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</si>
  <si>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</si>
  <si>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</si>
  <si>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</si>
  <si>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</si>
  <si>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</si>
  <si>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</si>
  <si>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</si>
  <si>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</si>
  <si>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</si>
  <si>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</si>
  <si>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</si>
  <si>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</si>
  <si>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</si>
  <si>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</si>
  <si>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</si>
  <si>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</si>
  <si>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</si>
  <si>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</si>
  <si>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</si>
  <si>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</si>
  <si>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</si>
  <si>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</si>
  <si>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</si>
  <si>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</si>
  <si>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</si>
  <si>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</si>
  <si>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</si>
  <si>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</si>
  <si>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</si>
  <si>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</si>
  <si>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</si>
  <si>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</si>
  <si>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</si>
  <si>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</si>
  <si>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</si>
  <si>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</si>
  <si>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</si>
  <si>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</si>
  <si>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</si>
  <si>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</si>
  <si>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</si>
  <si>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</si>
  <si>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</si>
  <si>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</si>
  <si>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</si>
  <si>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</si>
  <si>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</si>
  <si>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</si>
  <si>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</si>
  <si>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</si>
  <si>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</si>
  <si>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</si>
  <si>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</si>
  <si>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</si>
  <si>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</si>
  <si>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</si>
  <si>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</si>
  <si>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</si>
  <si>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</si>
  <si>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</si>
  <si>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</si>
  <si>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</si>
  <si>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</si>
  <si>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</si>
  <si>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</si>
  <si>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</si>
  <si>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</si>
  <si>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</si>
  <si>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</si>
  <si>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</si>
  <si>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</si>
  <si>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</si>
  <si>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</si>
  <si>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</si>
  <si>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</si>
  <si>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</si>
  <si>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</si>
  <si>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</si>
  <si>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</si>
  <si>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</si>
  <si>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</si>
  <si>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</si>
  <si>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</si>
  <si>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</si>
  <si>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</si>
  <si>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</si>
  <si>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</si>
  <si>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</si>
  <si>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</si>
  <si>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</si>
  <si>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</si>
  <si>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</si>
  <si>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</si>
  <si>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</si>
  <si>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</si>
  <si>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</si>
  <si>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</si>
  <si>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</si>
  <si>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</si>
  <si>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</si>
  <si>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</si>
  <si>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</si>
  <si>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</si>
  <si>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</si>
  <si>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</si>
  <si>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</si>
  <si>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</si>
  <si>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</si>
  <si>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</si>
  <si>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</si>
  <si>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</si>
  <si>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</si>
  <si>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</si>
  <si>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</si>
  <si>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</si>
  <si>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</si>
  <si>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</si>
  <si>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</si>
  <si>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</si>
  <si>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</si>
  <si>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</si>
  <si>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</si>
  <si>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</si>
  <si>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</si>
  <si>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</si>
  <si>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</si>
  <si>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</si>
  <si>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</si>
  <si>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</si>
  <si>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</si>
  <si>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</si>
  <si>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</si>
  <si>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</si>
  <si>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</si>
  <si>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</si>
  <si>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</si>
  <si>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</si>
  <si>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</si>
  <si>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</si>
  <si>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</si>
  <si>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</si>
  <si>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</si>
  <si>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</si>
  <si>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</si>
  <si>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</si>
  <si>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</si>
  <si>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</si>
  <si>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</si>
  <si>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</si>
  <si>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</si>
  <si>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</si>
  <si>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</si>
  <si>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</si>
  <si>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</si>
  <si>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</si>
  <si>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</si>
  <si>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</si>
  <si>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</si>
  <si>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</si>
  <si>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</si>
  <si>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</si>
  <si>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</si>
  <si>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</si>
  <si>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</si>
  <si>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</si>
  <si>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</si>
  <si>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</si>
  <si>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</si>
  <si>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</si>
  <si>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</si>
  <si>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</si>
  <si>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</si>
  <si>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</si>
  <si>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</si>
  <si>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</si>
  <si>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</si>
  <si>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</si>
  <si>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</si>
  <si>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</si>
  <si>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</si>
  <si>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</si>
  <si>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</si>
  <si>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</si>
  <si>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</si>
  <si>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</si>
  <si>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</si>
  <si>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</si>
  <si>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</si>
  <si>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</si>
  <si>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</si>
  <si>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</si>
  <si>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</si>
  <si>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</si>
  <si>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</si>
  <si>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</si>
  <si>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</si>
  <si>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</si>
  <si>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</si>
  <si>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</si>
  <si>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</si>
  <si>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</si>
  <si>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</si>
  <si>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</si>
  <si>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</si>
  <si>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</si>
  <si>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</si>
  <si>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</si>
  <si>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</si>
  <si>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</si>
  <si>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</si>
  <si>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</si>
  <si>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</si>
  <si>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</si>
  <si>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</si>
  <si>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</si>
  <si>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</si>
  <si>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</si>
  <si>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</si>
  <si>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</si>
  <si>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</si>
  <si>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</si>
  <si>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</si>
  <si>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</si>
  <si>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</si>
  <si>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</si>
  <si>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</si>
  <si>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</si>
  <si>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</si>
  <si>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</si>
  <si>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</si>
  <si>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</si>
  <si>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</si>
  <si>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</si>
  <si>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</si>
  <si>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</si>
  <si>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</si>
  <si>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</si>
  <si>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</si>
  <si>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</si>
  <si>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</si>
  <si>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</si>
  <si>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</si>
  <si>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</si>
  <si>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</si>
  <si>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</si>
  <si>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</si>
  <si>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</si>
  <si>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</si>
  <si>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</si>
  <si>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</si>
  <si>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</si>
  <si>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</si>
  <si>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</si>
  <si>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</si>
  <si>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</si>
  <si>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</si>
  <si>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</si>
  <si>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</si>
  <si>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</si>
  <si>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</si>
  <si>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</si>
  <si>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</si>
  <si>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</si>
  <si>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</si>
  <si>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</si>
  <si>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</si>
  <si>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</si>
  <si>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</si>
  <si>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</si>
  <si>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</si>
  <si>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</si>
  <si>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</si>
  <si>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</si>
  <si>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</si>
  <si>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</si>
  <si>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</si>
  <si>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</si>
  <si>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</si>
  <si>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</si>
  <si>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</si>
  <si>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</si>
  <si>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</si>
  <si>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</si>
  <si>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</si>
  <si>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</si>
  <si>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</si>
  <si>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</si>
  <si>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</si>
  <si>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</si>
  <si>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</si>
  <si>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</si>
  <si>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</si>
  <si>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</si>
  <si>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</si>
  <si>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</si>
  <si>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</si>
  <si>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</si>
  <si>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</si>
  <si>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</si>
  <si>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</si>
  <si>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</si>
  <si>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</si>
  <si>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</si>
  <si>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</si>
  <si>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</si>
  <si>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</si>
  <si>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</si>
  <si>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</si>
  <si>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</si>
  <si>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</si>
  <si>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</si>
  <si>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</si>
  <si>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</si>
  <si>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</si>
  <si>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</si>
  <si>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</si>
  <si>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</si>
  <si>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</si>
  <si>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</si>
  <si>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</si>
  <si>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</si>
  <si>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</si>
  <si>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</si>
  <si>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</si>
  <si>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</si>
  <si>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</si>
  <si>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</si>
  <si>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</si>
  <si>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</si>
  <si>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</si>
  <si>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</si>
  <si>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</si>
  <si>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</si>
  <si>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</si>
  <si>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</si>
  <si>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</si>
  <si>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</si>
  <si>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</si>
  <si>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</si>
  <si>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</si>
  <si>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</si>
  <si>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</si>
  <si>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</si>
  <si>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</si>
  <si>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</si>
  <si>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</si>
  <si>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</si>
  <si>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</si>
  <si>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</si>
  <si>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</si>
  <si>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</si>
  <si>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</si>
  <si>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</si>
  <si>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</si>
  <si>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</si>
  <si>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</si>
  <si>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</si>
  <si>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</si>
  <si>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</si>
  <si>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</si>
  <si>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</si>
  <si>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</si>
  <si>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</si>
  <si>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</si>
  <si>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</si>
  <si>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</si>
  <si>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</si>
  <si>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</si>
  <si>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</si>
  <si>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</si>
  <si>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</si>
  <si>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</si>
  <si>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</si>
  <si>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</si>
  <si>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</si>
  <si>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</si>
  <si>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</si>
  <si>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</si>
  <si>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</si>
  <si>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</si>
  <si>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</si>
  <si>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</si>
  <si>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</si>
  <si>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</si>
  <si>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</si>
  <si>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</si>
  <si>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</si>
  <si>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</si>
  <si>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</si>
  <si>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</si>
  <si>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</si>
  <si>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</si>
  <si>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</si>
  <si>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</si>
  <si>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</si>
  <si>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</si>
  <si>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</si>
  <si>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</si>
  <si>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</si>
  <si>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</si>
  <si>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</si>
  <si>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</si>
  <si>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</si>
  <si>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</si>
  <si>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</si>
  <si>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</si>
  <si>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</si>
  <si>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</si>
  <si>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</si>
  <si>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</si>
  <si>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</si>
  <si>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</si>
  <si>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</si>
  <si>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</si>
  <si>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</si>
  <si>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</si>
  <si>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</si>
  <si>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</si>
  <si>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</si>
  <si>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</si>
  <si>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</si>
  <si>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</si>
  <si>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</si>
  <si>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</si>
  <si>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</si>
  <si>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</si>
  <si>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</si>
  <si>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</si>
  <si>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</si>
  <si>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</si>
  <si>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</si>
  <si>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</si>
  <si>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</si>
  <si>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</si>
  <si>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</si>
  <si>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</si>
  <si>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</si>
  <si>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</si>
  <si>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</si>
  <si>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</si>
  <si>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</si>
  <si>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</si>
  <si>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</si>
  <si>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</si>
  <si>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</si>
  <si>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</si>
  <si>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</si>
  <si>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</si>
  <si>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</si>
  <si>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</si>
  <si>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</si>
  <si>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</si>
  <si>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</si>
  <si>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</si>
  <si>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</si>
  <si>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</si>
  <si>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</si>
  <si>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</si>
  <si>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</si>
  <si>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</si>
  <si>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</si>
  <si>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</si>
  <si>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</si>
  <si>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</si>
  <si>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</si>
  <si>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</si>
  <si>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</si>
  <si>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</si>
  <si>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</si>
  <si>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</si>
  <si>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</si>
  <si>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</si>
  <si>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</si>
  <si>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</si>
  <si>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</si>
  <si>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</si>
  <si>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</si>
  <si>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</si>
  <si>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</si>
  <si>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</si>
  <si>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</si>
  <si>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</si>
  <si>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</si>
  <si>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</si>
  <si>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</si>
  <si>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</si>
  <si>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</si>
  <si>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</si>
  <si>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</si>
  <si>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</si>
  <si>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</si>
  <si>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</si>
  <si>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</si>
  <si>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</si>
  <si>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</si>
  <si>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</si>
  <si>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</si>
  <si>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</si>
  <si>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</si>
  <si>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</si>
  <si>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</si>
  <si>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</si>
  <si>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</si>
  <si>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</si>
  <si>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</si>
  <si>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</si>
  <si>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</si>
  <si>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</si>
  <si>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</si>
  <si>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</si>
  <si>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</si>
  <si>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</si>
  <si>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</si>
  <si>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</si>
  <si>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</si>
  <si>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</si>
  <si>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</si>
  <si>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</si>
  <si>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</si>
  <si>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</si>
  <si>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</si>
  <si>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</si>
  <si>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</si>
  <si>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</si>
  <si>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</si>
  <si>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</si>
  <si>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</si>
  <si>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</si>
  <si>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</si>
  <si>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</si>
  <si>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</si>
  <si>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</si>
  <si>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</si>
  <si>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</si>
  <si>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</si>
  <si>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</si>
  <si>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QUO-01871-N0G3J5</t>
  </si>
  <si>
    <t>RaisinAnalytics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</si>
</sst>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31" t="s">
        <v>2360</v>
      </c>
      <c r="C8" s="1631"/>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4" t="s">
        <v>2354</v>
      </c>
      <c r="C16" s="1624"/>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6" t="s">
        <v>2365</v>
      </c>
      <c r="C19" s="1626"/>
      <c r="H19" s="476"/>
      <c r="W19" s="772"/>
    </row>
    <row r="20" spans="1:23" ht="14" x14ac:dyDescent="0.35">
      <c r="A20" s="769"/>
      <c r="B20" s="1626" t="s">
        <v>2362</v>
      </c>
      <c r="C20" s="1626"/>
      <c r="H20" s="476"/>
      <c r="W20" s="772"/>
    </row>
    <row r="21" spans="1:23" ht="14" x14ac:dyDescent="0.35">
      <c r="A21" s="769"/>
      <c r="B21" s="1629" t="s">
        <v>2395</v>
      </c>
      <c r="C21" s="1630"/>
      <c r="H21" s="476"/>
      <c r="W21" s="772"/>
    </row>
    <row r="22" spans="1:23" ht="14" x14ac:dyDescent="0.35">
      <c r="A22" s="769"/>
      <c r="B22" s="1629" t="s">
        <v>2396</v>
      </c>
      <c r="C22" s="1630"/>
      <c r="H22" s="476"/>
      <c r="W22" s="772"/>
    </row>
    <row r="23" spans="1:23" ht="14" x14ac:dyDescent="0.35">
      <c r="A23" s="769"/>
      <c r="B23" s="1629" t="s">
        <v>2397</v>
      </c>
      <c r="C23" s="1630"/>
      <c r="H23" s="476"/>
      <c r="W23" s="772"/>
    </row>
    <row r="24" spans="1:23" ht="14" x14ac:dyDescent="0.35">
      <c r="A24" s="769"/>
      <c r="B24" s="1629" t="s">
        <v>2398</v>
      </c>
      <c r="C24" s="1630"/>
      <c r="W24" s="772"/>
    </row>
    <row r="25" spans="1:23" ht="14" x14ac:dyDescent="0.35">
      <c r="A25" s="769"/>
      <c r="B25" s="1627" t="s">
        <v>3188</v>
      </c>
      <c r="C25" s="1628"/>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3"/>
      <c r="F31" s="1623"/>
      <c r="G31" s="1623"/>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9" activePane="bottomLeft" state="frozen"/>
      <selection activeCell="G20" sqref="G20"/>
      <selection pane="bottomLeft" activeCell="E27" sqref="E27"/>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50" t="s">
        <v>0</v>
      </c>
      <c r="E2" s="1651"/>
      <c r="F2" s="1652"/>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35" t="s">
        <v>3250</v>
      </c>
      <c r="C7" s="1635"/>
      <c r="D7" s="1635"/>
      <c r="E7" s="1635"/>
      <c r="F7" s="1635"/>
      <c r="G7" s="848"/>
      <c r="H7" s="848"/>
      <c r="I7" s="848"/>
      <c r="L7" s="847"/>
    </row>
    <row r="8" spans="2:15" s="624" customFormat="1" ht="14" x14ac:dyDescent="0.35">
      <c r="B8" s="1643" t="s">
        <v>2310</v>
      </c>
      <c r="C8" s="1643"/>
      <c r="D8" s="1643"/>
      <c r="E8" s="1643"/>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4" t="s">
        <v>3252</v>
      </c>
      <c r="C10" s="1644"/>
      <c r="D10" s="1644"/>
      <c r="E10" s="1644"/>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58" t="s">
        <v>2167</v>
      </c>
      <c r="C16" s="1659"/>
      <c r="I16" s="413"/>
      <c r="J16" s="395"/>
      <c r="K16" s="395"/>
      <c r="L16" s="405"/>
    </row>
    <row r="17" spans="2:12" ht="20" customHeight="1" x14ac:dyDescent="0.35">
      <c r="B17" s="865" t="s">
        <v>15</v>
      </c>
      <c r="C17" s="866" t="s">
        <v>295</v>
      </c>
      <c r="D17" s="831"/>
      <c r="E17" s="1653" t="s">
        <v>2269</v>
      </c>
      <c r="F17" s="1654"/>
      <c r="G17" s="418"/>
      <c r="I17" s="416"/>
      <c r="J17" s="416"/>
      <c r="K17" s="416"/>
      <c r="L17" s="413"/>
    </row>
    <row r="18" spans="2:12" ht="24.5" customHeight="1" x14ac:dyDescent="0.35">
      <c r="B18" s="867" t="s">
        <v>1304</v>
      </c>
      <c r="C18" s="868" t="s">
        <v>1431</v>
      </c>
      <c r="D18" s="419"/>
      <c r="E18" s="1655"/>
      <c r="F18" s="1656"/>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3693</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278</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2194</v>
      </c>
      <c r="D32" s="420"/>
      <c r="J32" s="395"/>
      <c r="K32" s="398"/>
    </row>
    <row r="33" spans="2:15" ht="26.25" customHeight="1" x14ac:dyDescent="0.35">
      <c r="B33" s="797" t="s">
        <v>2349</v>
      </c>
      <c r="C33" s="1647"/>
      <c r="D33" s="1647"/>
      <c r="E33" s="1647"/>
      <c r="F33" s="1647"/>
      <c r="G33" s="403"/>
      <c r="H33" s="403"/>
      <c r="I33" s="403"/>
      <c r="J33" s="427"/>
      <c r="K33" s="428"/>
      <c r="L33" s="403"/>
      <c r="M33" s="403"/>
      <c r="N33" s="428"/>
      <c r="O33" s="428"/>
    </row>
    <row r="34" spans="2:15" s="624" customFormat="1" ht="29" customHeight="1" x14ac:dyDescent="0.35">
      <c r="B34" s="1637" t="s">
        <v>2375</v>
      </c>
      <c r="C34" s="1637"/>
      <c r="D34" s="1637"/>
      <c r="E34" s="1637"/>
      <c r="F34" s="1637"/>
      <c r="G34" s="1262"/>
      <c r="H34" s="1262"/>
    </row>
    <row r="35" spans="2:15" s="624" customFormat="1" ht="29.5" customHeight="1" x14ac:dyDescent="0.35">
      <c r="B35" s="1638" t="s">
        <v>3200</v>
      </c>
      <c r="C35" s="1638"/>
      <c r="D35" s="1638"/>
      <c r="E35" s="1638"/>
      <c r="F35" s="1638"/>
      <c r="G35" s="1262"/>
      <c r="H35" s="1262"/>
    </row>
    <row r="36" spans="2:15" ht="14" x14ac:dyDescent="0.3">
      <c r="B36" s="1262"/>
      <c r="C36" s="1262"/>
      <c r="D36" s="1262"/>
      <c r="E36" s="1262"/>
      <c r="F36" s="1262"/>
      <c r="G36" s="1262"/>
      <c r="H36" s="1262"/>
      <c r="J36" s="395"/>
      <c r="K36" s="395"/>
      <c r="N36" s="395"/>
      <c r="O36" s="395"/>
    </row>
    <row r="37" spans="2:15" ht="16" customHeight="1" x14ac:dyDescent="0.35">
      <c r="B37" s="1660" t="s">
        <v>2313</v>
      </c>
      <c r="C37" s="1661"/>
      <c r="D37" s="397"/>
      <c r="E37" s="412"/>
      <c r="H37" s="397"/>
      <c r="I37" s="412"/>
      <c r="K37" s="395"/>
      <c r="L37" s="429"/>
      <c r="M37" s="429"/>
    </row>
    <row r="38" spans="2:15" x14ac:dyDescent="0.35">
      <c r="B38" s="1648" t="s">
        <v>3178</v>
      </c>
      <c r="C38" s="1649"/>
      <c r="D38" s="430"/>
      <c r="E38" s="1657"/>
      <c r="F38" s="431"/>
      <c r="G38" s="432"/>
      <c r="H38" s="397"/>
      <c r="I38" s="433"/>
      <c r="J38" s="433"/>
      <c r="K38" s="433"/>
      <c r="L38" s="433"/>
      <c r="M38" s="433"/>
    </row>
    <row r="39" spans="2:15" x14ac:dyDescent="0.35">
      <c r="B39" s="1645" t="s">
        <v>3179</v>
      </c>
      <c r="C39" s="1646"/>
      <c r="D39" s="430"/>
      <c r="E39" s="1657"/>
      <c r="F39" s="431"/>
      <c r="G39" s="432"/>
      <c r="H39" s="397"/>
      <c r="I39" s="434"/>
      <c r="J39" s="432"/>
      <c r="K39" s="425"/>
      <c r="L39" s="432"/>
      <c r="M39" s="435"/>
    </row>
    <row r="40" spans="2:15" ht="17.25" customHeight="1" x14ac:dyDescent="0.35">
      <c r="B40" s="1645" t="s">
        <v>3180</v>
      </c>
      <c r="C40" s="1646"/>
      <c r="D40" s="430"/>
      <c r="E40" s="1657"/>
      <c r="F40" s="431"/>
      <c r="G40" s="432"/>
      <c r="H40" s="397"/>
      <c r="I40" s="434"/>
      <c r="J40" s="432"/>
      <c r="K40" s="425"/>
      <c r="L40" s="432"/>
      <c r="M40" s="435"/>
    </row>
    <row r="41" spans="2:15" x14ac:dyDescent="0.35">
      <c r="B41" s="1645" t="s">
        <v>3181</v>
      </c>
      <c r="C41" s="1646"/>
      <c r="D41" s="430"/>
      <c r="E41" s="1657"/>
      <c r="F41" s="436"/>
      <c r="G41" s="432"/>
      <c r="H41" s="397"/>
      <c r="I41" s="434"/>
      <c r="J41" s="432"/>
      <c r="K41" s="425"/>
      <c r="L41" s="432"/>
      <c r="M41" s="435"/>
    </row>
    <row r="42" spans="2:15" x14ac:dyDescent="0.35">
      <c r="B42" s="1645" t="s">
        <v>3182</v>
      </c>
      <c r="C42" s="1646"/>
      <c r="D42" s="430"/>
      <c r="E42" s="1657"/>
      <c r="F42" s="436"/>
      <c r="G42" s="432"/>
      <c r="H42" s="397"/>
      <c r="I42" s="434"/>
      <c r="J42" s="432"/>
      <c r="K42" s="425"/>
      <c r="L42" s="432"/>
      <c r="M42" s="435"/>
    </row>
    <row r="43" spans="2:15" x14ac:dyDescent="0.35">
      <c r="B43" s="1645" t="s">
        <v>3183</v>
      </c>
      <c r="C43" s="1646"/>
      <c r="D43" s="430"/>
      <c r="E43" s="1657"/>
      <c r="F43" s="436"/>
      <c r="G43" s="432"/>
      <c r="H43" s="397"/>
      <c r="I43" s="434"/>
      <c r="J43" s="432"/>
      <c r="K43" s="425"/>
      <c r="L43" s="432"/>
      <c r="M43" s="435"/>
    </row>
    <row r="44" spans="2:15" x14ac:dyDescent="0.35">
      <c r="B44" s="1641" t="s">
        <v>2242</v>
      </c>
      <c r="C44" s="1642"/>
      <c r="D44" s="430"/>
      <c r="E44" s="1657"/>
      <c r="F44" s="436"/>
      <c r="G44" s="432"/>
      <c r="H44" s="397"/>
      <c r="I44" s="434"/>
      <c r="J44" s="432"/>
      <c r="K44" s="437"/>
      <c r="L44" s="432"/>
      <c r="M44" s="435"/>
    </row>
    <row r="45" spans="2:15" x14ac:dyDescent="0.35">
      <c r="B45" s="1641" t="s">
        <v>2243</v>
      </c>
      <c r="C45" s="1642"/>
      <c r="D45" s="430"/>
      <c r="E45" s="1657"/>
      <c r="F45" s="436"/>
      <c r="G45" s="432"/>
      <c r="H45" s="397"/>
      <c r="I45" s="438"/>
      <c r="J45" s="432"/>
      <c r="K45" s="437"/>
      <c r="L45" s="432"/>
      <c r="M45" s="437"/>
    </row>
    <row r="46" spans="2:15" x14ac:dyDescent="0.35">
      <c r="B46" s="1641" t="s">
        <v>2244</v>
      </c>
      <c r="C46" s="1642"/>
      <c r="D46" s="430"/>
      <c r="E46" s="1657"/>
      <c r="F46" s="436"/>
      <c r="G46" s="432"/>
      <c r="H46" s="397"/>
      <c r="J46" s="397"/>
      <c r="K46" s="395"/>
    </row>
    <row r="47" spans="2:15" x14ac:dyDescent="0.35">
      <c r="B47" s="1641" t="s">
        <v>2245</v>
      </c>
      <c r="C47" s="1642"/>
      <c r="D47" s="430"/>
      <c r="E47" s="1657"/>
      <c r="F47" s="436"/>
      <c r="G47" s="432"/>
      <c r="H47" s="397"/>
      <c r="I47" s="439"/>
      <c r="J47" s="395"/>
      <c r="K47" s="395"/>
    </row>
    <row r="48" spans="2:15" x14ac:dyDescent="0.35">
      <c r="B48" s="1641" t="s">
        <v>2246</v>
      </c>
      <c r="C48" s="1642"/>
      <c r="D48" s="430"/>
      <c r="E48" s="440"/>
      <c r="F48" s="441"/>
      <c r="G48" s="442"/>
      <c r="H48" s="397"/>
      <c r="I48" s="413"/>
      <c r="J48" s="443"/>
      <c r="K48" s="443"/>
      <c r="L48" s="413"/>
      <c r="M48" s="413"/>
    </row>
    <row r="49" spans="2:15" x14ac:dyDescent="0.35">
      <c r="B49" s="1641" t="s">
        <v>2247</v>
      </c>
      <c r="C49" s="1642"/>
      <c r="D49" s="430"/>
      <c r="E49" s="440"/>
      <c r="F49" s="441"/>
      <c r="G49" s="442"/>
      <c r="H49" s="397"/>
      <c r="I49" s="413"/>
      <c r="J49" s="443"/>
      <c r="K49" s="443"/>
      <c r="L49" s="413"/>
      <c r="M49" s="413"/>
    </row>
    <row r="50" spans="2:15" x14ac:dyDescent="0.35">
      <c r="B50" s="1641" t="s">
        <v>2248</v>
      </c>
      <c r="C50" s="1642"/>
      <c r="D50" s="430"/>
      <c r="E50" s="440"/>
      <c r="F50" s="441"/>
      <c r="G50" s="442"/>
      <c r="H50" s="397"/>
      <c r="I50" s="413"/>
      <c r="J50" s="443"/>
      <c r="K50" s="443"/>
      <c r="L50" s="413"/>
      <c r="M50" s="413"/>
    </row>
    <row r="51" spans="2:15" x14ac:dyDescent="0.35">
      <c r="B51" s="1641" t="s">
        <v>2249</v>
      </c>
      <c r="C51" s="1642"/>
      <c r="D51" s="430"/>
      <c r="E51" s="440"/>
      <c r="F51" s="441"/>
      <c r="G51" s="442"/>
      <c r="H51" s="397"/>
      <c r="I51" s="413"/>
      <c r="J51" s="443"/>
      <c r="K51" s="443"/>
      <c r="L51" s="413"/>
      <c r="M51" s="413"/>
    </row>
    <row r="52" spans="2:15" x14ac:dyDescent="0.35">
      <c r="B52" s="1641" t="s">
        <v>2250</v>
      </c>
      <c r="C52" s="1642"/>
      <c r="D52" s="430"/>
      <c r="E52" s="440"/>
      <c r="F52" s="441"/>
      <c r="G52" s="442"/>
      <c r="H52" s="397"/>
      <c r="I52" s="413"/>
      <c r="J52" s="443"/>
      <c r="K52" s="443"/>
      <c r="L52" s="413"/>
      <c r="M52" s="413"/>
    </row>
    <row r="53" spans="2:15" x14ac:dyDescent="0.35">
      <c r="B53" s="1641" t="s">
        <v>2251</v>
      </c>
      <c r="C53" s="1642"/>
      <c r="D53" s="430"/>
      <c r="E53" s="440"/>
      <c r="F53" s="441"/>
      <c r="G53" s="442"/>
      <c r="H53" s="397"/>
      <c r="I53" s="413"/>
      <c r="J53" s="443"/>
      <c r="K53" s="443"/>
      <c r="L53" s="413"/>
      <c r="M53" s="413"/>
    </row>
    <row r="54" spans="2:15" x14ac:dyDescent="0.35">
      <c r="B54" s="1641" t="s">
        <v>2252</v>
      </c>
      <c r="C54" s="1642"/>
      <c r="D54" s="430"/>
      <c r="E54" s="440"/>
      <c r="F54" s="441"/>
      <c r="G54" s="442"/>
      <c r="H54" s="397"/>
      <c r="I54" s="413"/>
      <c r="J54" s="443"/>
      <c r="K54" s="443"/>
      <c r="L54" s="413"/>
      <c r="M54" s="413"/>
    </row>
    <row r="55" spans="2:15" x14ac:dyDescent="0.35">
      <c r="B55" s="1641" t="s">
        <v>2253</v>
      </c>
      <c r="C55" s="1642"/>
      <c r="D55" s="430"/>
      <c r="E55" s="440"/>
      <c r="F55" s="441"/>
      <c r="G55" s="442"/>
      <c r="H55" s="397"/>
      <c r="I55" s="413"/>
      <c r="J55" s="443"/>
      <c r="K55" s="443"/>
      <c r="L55" s="413"/>
      <c r="M55" s="413"/>
    </row>
    <row r="56" spans="2:15" x14ac:dyDescent="0.35">
      <c r="B56" s="1641" t="s">
        <v>2254</v>
      </c>
      <c r="C56" s="1642"/>
      <c r="D56" s="430"/>
      <c r="E56" s="440"/>
      <c r="F56" s="441"/>
      <c r="G56" s="442"/>
      <c r="H56" s="397"/>
      <c r="I56" s="413"/>
      <c r="J56" s="443"/>
      <c r="K56" s="443"/>
      <c r="L56" s="413"/>
      <c r="M56" s="413"/>
    </row>
    <row r="57" spans="2:15" x14ac:dyDescent="0.35">
      <c r="B57" s="1639" t="s">
        <v>2255</v>
      </c>
      <c r="C57" s="164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2" t="s">
        <v>3177</v>
      </c>
      <c r="C60" s="1632"/>
      <c r="D60" s="1632"/>
      <c r="E60" s="1632"/>
      <c r="F60" s="1214"/>
      <c r="G60" s="1214"/>
      <c r="H60" s="1209"/>
      <c r="I60" s="838"/>
      <c r="J60" s="849"/>
      <c r="K60" s="850"/>
      <c r="L60" s="838"/>
      <c r="M60" s="838"/>
      <c r="N60" s="851"/>
      <c r="O60" s="851"/>
    </row>
    <row r="61" spans="2:15" s="624" customFormat="1" x14ac:dyDescent="0.35">
      <c r="B61" s="1636" t="s">
        <v>2404</v>
      </c>
      <c r="C61" s="1636"/>
      <c r="D61" s="1636"/>
      <c r="E61" s="1636"/>
      <c r="F61" s="1636"/>
      <c r="G61" s="1636"/>
      <c r="H61" s="163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3" t="s">
        <v>2163</v>
      </c>
      <c r="C63" s="163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04"/>
      <c r="AI1" s="1704"/>
      <c r="AJ1" s="1704"/>
    </row>
    <row r="2" spans="1:152" s="469" customFormat="1" ht="25.5" x14ac:dyDescent="0.3">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 customHeight="1" x14ac:dyDescent="0.35">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5">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5">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4" customHeight="1" x14ac:dyDescent="0.35">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5">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5">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696" t="s">
        <v>3246</v>
      </c>
      <c r="D15" s="1696"/>
      <c r="E15" s="1696"/>
      <c r="F15" s="1696"/>
      <c r="G15" s="1696"/>
      <c r="H15" s="1696"/>
      <c r="I15" s="1696"/>
      <c r="AH15" s="845"/>
      <c r="AI15" s="846"/>
      <c r="AJ15" s="846"/>
    </row>
    <row r="16" spans="1:152" x14ac:dyDescent="0.3">
      <c r="AH16" s="404"/>
      <c r="AI16" s="477"/>
      <c r="AJ16" s="477"/>
    </row>
    <row r="17" spans="3:97" ht="23.5" customHeight="1" x14ac:dyDescent="0.3">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666" t="s">
        <v>22</v>
      </c>
      <c r="D24" s="1666"/>
      <c r="E24" s="1738" t="str">
        <f>'1. Project Inputs'!C23</f>
        <v>RaisinAnalytics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4" customHeight="1" x14ac:dyDescent="0.35">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3">
      <c r="Y45" s="1733"/>
      <c r="Z45" s="1733"/>
      <c r="AA45" s="1733"/>
      <c r="AB45" s="1733"/>
    </row>
    <row r="46" spans="1:97" s="624" customFormat="1" ht="14" customHeight="1" x14ac:dyDescent="0.35">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 customHeight="1" x14ac:dyDescent="0.3">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 customHeight="1" x14ac:dyDescent="0.3">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 customHeight="1" x14ac:dyDescent="0.3">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 customHeight="1" x14ac:dyDescent="0.3">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 customHeight="1" x14ac:dyDescent="0.3">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 customHeight="1" x14ac:dyDescent="0.3">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 customHeight="1" x14ac:dyDescent="0.3">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 customHeight="1" x14ac:dyDescent="0.3">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672" t="s">
        <v>3247</v>
      </c>
      <c r="D283" s="1672"/>
      <c r="E283" s="1672"/>
      <c r="F283" s="1672"/>
      <c r="G283" s="1672"/>
      <c r="H283" s="1673"/>
      <c r="I283" s="1672"/>
      <c r="J283" s="1672"/>
      <c r="K283" s="1672"/>
      <c r="L283" s="1672"/>
      <c r="M283" s="1672"/>
      <c r="N283" s="1672"/>
      <c r="O283" s="1469"/>
      <c r="P283" s="1469"/>
    </row>
    <row r="284" spans="1:66" x14ac:dyDescent="0.3">
      <c r="C284" s="1674" t="s">
        <v>2323</v>
      </c>
      <c r="D284" s="1674"/>
      <c r="E284" s="1674"/>
      <c r="F284" s="1674"/>
      <c r="G284" s="1674"/>
      <c r="H284" s="1674"/>
      <c r="I284" s="1674"/>
      <c r="J284" s="1674"/>
      <c r="K284" s="1674"/>
      <c r="L284" s="1674"/>
      <c r="M284" s="1674"/>
      <c r="N284" s="1674"/>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708" t="s">
        <v>3248</v>
      </c>
      <c r="D286" s="1708"/>
      <c r="E286" s="1708"/>
      <c r="F286" s="1708"/>
      <c r="G286" s="1708"/>
      <c r="H286" s="1708"/>
      <c r="I286" s="1708"/>
      <c r="J286" s="1708"/>
      <c r="K286" s="1708"/>
      <c r="L286" s="1708"/>
      <c r="M286" s="1708"/>
      <c r="N286" s="1708"/>
      <c r="O286" s="1708"/>
      <c r="P286" s="1708"/>
    </row>
    <row r="287" spans="1:66" ht="18" customHeight="1" x14ac:dyDescent="0.3">
      <c r="C287" s="1729" t="s">
        <v>3249</v>
      </c>
      <c r="D287" s="1729"/>
      <c r="E287" s="1729"/>
      <c r="F287" s="1729"/>
      <c r="G287" s="1729"/>
      <c r="H287" s="1729"/>
      <c r="I287" s="1729"/>
      <c r="J287" s="1729"/>
      <c r="K287" s="1729"/>
      <c r="L287" s="1729"/>
      <c r="M287" s="1729"/>
      <c r="N287" s="1729"/>
      <c r="O287" s="1729"/>
      <c r="P287" s="1729"/>
    </row>
    <row r="288" spans="1:66" ht="25" customHeight="1" x14ac:dyDescent="0.3">
      <c r="B288" s="555"/>
      <c r="C288" s="907" t="s">
        <v>189</v>
      </c>
      <c r="D288" s="1582">
        <f>IFERROR('3. Financial Inputs'!B52,"")</f>
        <v>0.54317343173431731</v>
      </c>
      <c r="E288" s="520"/>
      <c r="F288" s="521"/>
      <c r="G288" s="1211"/>
      <c r="H288" s="1211"/>
      <c r="J288" s="1211"/>
    </row>
    <row r="289" spans="2:16" ht="26" customHeight="1" x14ac:dyDescent="0.3">
      <c r="B289" s="555"/>
      <c r="C289" s="907" t="s">
        <v>2197</v>
      </c>
      <c r="D289" s="908">
        <f>SUM(D291:D390)</f>
        <v>813000</v>
      </c>
      <c r="E289" s="908"/>
      <c r="F289" s="908">
        <f>SUM(F291:F390)</f>
        <v>371400</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4" customHeight="1" x14ac:dyDescent="0.3">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4" customHeight="1" x14ac:dyDescent="0.3">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88" t="s">
        <v>3577</v>
      </c>
      <c r="D395" s="1688"/>
      <c r="E395" s="1688"/>
      <c r="F395" s="1688"/>
      <c r="G395" s="1688"/>
      <c r="H395" s="1688"/>
      <c r="I395" s="1688"/>
      <c r="J395" s="1688"/>
      <c r="K395" s="1688"/>
      <c r="L395" s="1688"/>
      <c r="M395" s="1688"/>
      <c r="N395" s="1688"/>
      <c r="O395" s="627"/>
    </row>
    <row r="396" spans="2:37" x14ac:dyDescent="0.3">
      <c r="C396" s="1688" t="s">
        <v>3224</v>
      </c>
      <c r="D396" s="1688"/>
      <c r="E396" s="1688"/>
      <c r="F396" s="1688"/>
      <c r="G396" s="1688"/>
      <c r="H396" s="1688"/>
      <c r="I396" s="1688"/>
      <c r="J396" s="1688"/>
      <c r="K396" s="1688"/>
      <c r="L396" s="1688"/>
      <c r="M396" s="1688"/>
      <c r="N396" s="1688"/>
      <c r="O396" s="1264"/>
    </row>
    <row r="397" spans="2:37" x14ac:dyDescent="0.3">
      <c r="C397" s="1688" t="s">
        <v>3398</v>
      </c>
      <c r="D397" s="1688"/>
      <c r="E397" s="1688"/>
      <c r="F397" s="1688"/>
      <c r="G397" s="1688"/>
      <c r="H397" s="1688"/>
      <c r="I397" s="1688"/>
      <c r="J397" s="1688"/>
      <c r="K397" s="1688"/>
      <c r="L397" s="1688"/>
      <c r="M397" s="1688"/>
      <c r="N397" s="1688"/>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724" t="s">
        <v>101</v>
      </c>
      <c r="E399" s="1725"/>
      <c r="F399" s="1726"/>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H3" sqref="H3"/>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RaisinAnalytics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386"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7.5" thickBot="1" x14ac:dyDescent="0.4">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7.5" thickBot="1" x14ac:dyDescent="0.4">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0.5" thickBot="1" x14ac:dyDescent="0.4">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0.5" thickBot="1" x14ac:dyDescent="0.4">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0.5" thickBot="1" x14ac:dyDescent="0.4">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5" thickBot="1" x14ac:dyDescent="0.4">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40650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5" thickBot="1" x14ac:dyDescent="0.35">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772350</v>
      </c>
      <c r="BU40" s="291">
        <f>(BT40-BQ34)/BT40</f>
        <v>1</v>
      </c>
      <c r="BV40" s="290">
        <f>BT40/BU34</f>
        <v>90.651408450704224</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3">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5" thickBot="1" x14ac:dyDescent="0.35">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5" thickBot="1" x14ac:dyDescent="0.35">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926820</v>
      </c>
      <c r="BU45" s="291">
        <f>(BT45-BQ34)/BT45</f>
        <v>1</v>
      </c>
      <c r="BV45" s="290">
        <f>BT45/BU34</f>
        <v>108.78169014084507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5" thickBot="1" x14ac:dyDescent="0.35">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5" thickBot="1" x14ac:dyDescent="0.35">
      <c r="BN51" s="1814" t="s">
        <v>2047</v>
      </c>
      <c r="BO51" s="1815"/>
      <c r="BP51" s="863">
        <f>IF(H5="Fixed Price",'4. Summary &amp; Totals'!C61,'4. Summary &amp; Totals'!C45)</f>
        <v>861000</v>
      </c>
    </row>
    <row r="52" spans="1:68" x14ac:dyDescent="0.3">
      <c r="J52" s="304" t="s">
        <v>2048</v>
      </c>
      <c r="K52" s="305">
        <f>+BP34/BO34/8</f>
        <v>95.422535211267601</v>
      </c>
    </row>
    <row r="53" spans="1:68" x14ac:dyDescent="0.3">
      <c r="J53" s="306" t="s">
        <v>2049</v>
      </c>
      <c r="K53" s="307">
        <f>+BP39/BO34/8</f>
        <v>114.50704225352112</v>
      </c>
    </row>
    <row r="54" spans="1:68" ht="14.5" thickBot="1" x14ac:dyDescent="0.35">
      <c r="J54" s="308" t="s">
        <v>2050</v>
      </c>
      <c r="K54" s="309">
        <f>+BP40/BO34/8</f>
        <v>124.04929577464789</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23" t="s">
        <v>0</v>
      </c>
      <c r="G2" s="1824"/>
      <c r="H2" s="1825"/>
    </row>
    <row r="3" spans="2:8" s="469" customFormat="1" ht="25" customHeight="1" x14ac:dyDescent="0.3">
      <c r="B3" s="1856" t="s">
        <v>3193</v>
      </c>
      <c r="C3" s="1856"/>
      <c r="D3" s="185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35" t="s">
        <v>2315</v>
      </c>
      <c r="C7" s="1835"/>
      <c r="D7" s="1835"/>
      <c r="E7" s="1835"/>
      <c r="F7" s="1835"/>
      <c r="G7" s="1835"/>
    </row>
    <row r="8" spans="2:8" x14ac:dyDescent="0.3">
      <c r="B8" s="1836" t="s">
        <v>3301</v>
      </c>
      <c r="C8" s="1836"/>
      <c r="D8" s="1836"/>
      <c r="E8" s="1836"/>
      <c r="F8" s="1836"/>
      <c r="G8" s="1836"/>
    </row>
    <row r="9" spans="2:8" x14ac:dyDescent="0.3">
      <c r="B9" s="1859" t="s">
        <v>3302</v>
      </c>
      <c r="C9" s="1859"/>
      <c r="D9" s="1859"/>
      <c r="E9" s="1859"/>
      <c r="F9" s="1859"/>
      <c r="G9" s="1859"/>
    </row>
    <row r="10" spans="2:8" x14ac:dyDescent="0.3">
      <c r="B10" s="1836" t="s">
        <v>3303</v>
      </c>
      <c r="C10" s="1836"/>
      <c r="D10" s="1836"/>
      <c r="E10" s="1836"/>
      <c r="F10" s="1836"/>
      <c r="G10" s="1836"/>
    </row>
    <row r="11" spans="2:8" x14ac:dyDescent="0.3">
      <c r="B11" s="1687" t="s">
        <v>3304</v>
      </c>
      <c r="C11" s="1687"/>
      <c r="D11" s="1687"/>
      <c r="E11" s="1687"/>
      <c r="F11" s="1687"/>
      <c r="G11" s="1687"/>
    </row>
    <row r="12" spans="2:8" ht="27.5" customHeight="1" x14ac:dyDescent="0.3">
      <c r="B12" s="1687" t="s">
        <v>3305</v>
      </c>
      <c r="C12" s="1687"/>
      <c r="D12" s="1687"/>
      <c r="E12" s="1687"/>
      <c r="F12" s="1687"/>
      <c r="G12" s="1687"/>
    </row>
    <row r="14" spans="2:8" ht="17.5" x14ac:dyDescent="0.3">
      <c r="B14" s="859" t="s">
        <v>2325</v>
      </c>
      <c r="C14" s="475"/>
      <c r="D14" s="475"/>
      <c r="E14" s="475"/>
      <c r="F14" s="475"/>
      <c r="G14" s="475"/>
      <c r="H14" s="475"/>
    </row>
    <row r="15" spans="2:8" ht="33.5" customHeight="1" x14ac:dyDescent="0.3">
      <c r="B15" s="1687" t="s">
        <v>3311</v>
      </c>
      <c r="C15" s="1687"/>
      <c r="D15" s="1687"/>
      <c r="E15" s="1687"/>
      <c r="F15" s="1687"/>
      <c r="G15" s="1687"/>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21" t="s">
        <v>3292</v>
      </c>
      <c r="C19" s="1822"/>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4" t="s">
        <v>3190</v>
      </c>
      <c r="C26" s="1674"/>
      <c r="D26" s="1674"/>
      <c r="E26" s="1674"/>
      <c r="F26" s="1674"/>
      <c r="G26" s="1674"/>
      <c r="H26" s="1674"/>
      <c r="I26" s="1674"/>
    </row>
    <row r="27" spans="2:9" x14ac:dyDescent="0.3">
      <c r="B27" s="1675" t="s">
        <v>3204</v>
      </c>
      <c r="C27" s="1675"/>
      <c r="D27" s="1675"/>
      <c r="E27" s="1675"/>
      <c r="F27" s="1675"/>
      <c r="G27" s="1675"/>
      <c r="H27" s="1675"/>
      <c r="I27" s="1466"/>
    </row>
    <row r="28" spans="2:9" x14ac:dyDescent="0.3">
      <c r="B28" s="1675" t="s">
        <v>3306</v>
      </c>
      <c r="C28" s="1675"/>
      <c r="D28" s="1675"/>
      <c r="E28" s="1675"/>
      <c r="F28" s="1675"/>
      <c r="G28" s="1675"/>
      <c r="H28" s="1675"/>
      <c r="I28" s="1466"/>
    </row>
    <row r="29" spans="2:9" x14ac:dyDescent="0.3">
      <c r="B29" s="1219"/>
      <c r="C29" s="1219"/>
      <c r="D29" s="1219"/>
      <c r="E29" s="1219"/>
      <c r="F29" s="1219"/>
      <c r="G29" s="1219"/>
      <c r="H29" s="1219"/>
      <c r="I29" s="1218"/>
    </row>
    <row r="30" spans="2:9" ht="19" customHeight="1" x14ac:dyDescent="0.3">
      <c r="B30" s="1660" t="s">
        <v>2265</v>
      </c>
      <c r="C30" s="1661"/>
    </row>
    <row r="31" spans="2:9" ht="19" customHeight="1" x14ac:dyDescent="0.3">
      <c r="B31" s="931" t="s">
        <v>2078</v>
      </c>
      <c r="C31" s="932">
        <f>'2. Roles &amp; Pricing'!D289</f>
        <v>813000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60" t="s">
        <v>2266</v>
      </c>
      <c r="C35" s="1661"/>
    </row>
    <row r="36" spans="2:15" ht="19" customHeight="1" x14ac:dyDescent="0.3">
      <c r="B36" s="931" t="s">
        <v>2078</v>
      </c>
      <c r="C36" s="932">
        <f>'2. Roles &amp; Pricing'!D289</f>
        <v>813000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37" t="s">
        <v>2377</v>
      </c>
      <c r="C41" s="1837"/>
      <c r="D41" s="1837"/>
      <c r="E41" s="1837"/>
      <c r="F41" s="1837"/>
      <c r="G41" s="1837"/>
      <c r="H41" s="1837"/>
      <c r="I41" s="1384"/>
    </row>
    <row r="42" spans="2:15" ht="14" customHeight="1" x14ac:dyDescent="0.3">
      <c r="B42" s="1858" t="s">
        <v>3191</v>
      </c>
      <c r="C42" s="1858"/>
      <c r="D42" s="1858"/>
      <c r="E42" s="1858"/>
      <c r="F42" s="1858"/>
      <c r="G42" s="1858"/>
      <c r="H42" s="1858"/>
      <c r="I42" s="1230"/>
    </row>
    <row r="43" spans="2:15" ht="15" customHeight="1" x14ac:dyDescent="0.3">
      <c r="B43" s="1858" t="s">
        <v>2331</v>
      </c>
      <c r="C43" s="1858"/>
      <c r="D43" s="1858"/>
      <c r="E43" s="1858"/>
      <c r="F43" s="1858"/>
      <c r="G43" s="1858"/>
      <c r="H43" s="1858"/>
    </row>
    <row r="44" spans="2:15" ht="15" customHeight="1" x14ac:dyDescent="0.3">
      <c r="B44" s="1687" t="s">
        <v>2326</v>
      </c>
      <c r="C44" s="1687"/>
      <c r="D44" s="1687"/>
      <c r="E44" s="1687"/>
      <c r="F44" s="1687"/>
      <c r="G44" s="1687"/>
      <c r="H44" s="710"/>
      <c r="J44" s="1206"/>
      <c r="K44" s="1206"/>
      <c r="L44" s="1206"/>
      <c r="M44" s="1206"/>
      <c r="N44" s="1206"/>
      <c r="O44" s="1206"/>
    </row>
    <row r="45" spans="2:15" ht="15" customHeight="1" x14ac:dyDescent="0.3">
      <c r="B45" s="1836" t="s">
        <v>3307</v>
      </c>
      <c r="C45" s="1836"/>
      <c r="D45" s="1836"/>
      <c r="E45" s="1836"/>
      <c r="F45" s="1836"/>
      <c r="G45" s="1836"/>
      <c r="H45" s="710"/>
      <c r="J45" s="1206"/>
      <c r="K45" s="1206"/>
      <c r="L45" s="1206"/>
      <c r="M45" s="1206"/>
      <c r="N45" s="1206"/>
      <c r="O45" s="1206"/>
    </row>
    <row r="46" spans="2:15" ht="29" customHeight="1" x14ac:dyDescent="0.3">
      <c r="B46" s="1836" t="s">
        <v>3205</v>
      </c>
      <c r="C46" s="1836"/>
      <c r="D46" s="1836"/>
      <c r="E46" s="1836"/>
      <c r="F46" s="1836"/>
      <c r="G46" s="1836"/>
      <c r="H46" s="1836"/>
      <c r="J46" s="1206"/>
      <c r="K46" s="1206"/>
      <c r="L46" s="1206"/>
      <c r="M46" s="1206"/>
      <c r="N46" s="1206"/>
      <c r="O46" s="1206"/>
    </row>
    <row r="47" spans="2:15" ht="15" customHeight="1" x14ac:dyDescent="0.3">
      <c r="B47" s="1857" t="s">
        <v>3192</v>
      </c>
      <c r="C47" s="1857"/>
      <c r="D47" s="1857"/>
      <c r="E47" s="1857"/>
      <c r="F47" s="1857"/>
      <c r="G47" s="1857"/>
      <c r="H47" s="710"/>
      <c r="J47" s="1206"/>
      <c r="K47" s="1206"/>
      <c r="L47" s="1206"/>
      <c r="M47" s="1206"/>
      <c r="N47" s="1206"/>
      <c r="O47" s="1206"/>
    </row>
    <row r="48" spans="2:15" x14ac:dyDescent="0.3">
      <c r="B48" s="1836" t="s">
        <v>2267</v>
      </c>
      <c r="C48" s="1836"/>
      <c r="D48" s="1836"/>
      <c r="E48" s="1836"/>
      <c r="F48" s="1836"/>
      <c r="G48" s="1836"/>
    </row>
    <row r="49" spans="2:9" x14ac:dyDescent="0.3">
      <c r="B49" s="710"/>
      <c r="C49" s="710"/>
      <c r="D49" s="710"/>
      <c r="E49" s="710"/>
      <c r="F49" s="710"/>
    </row>
    <row r="50" spans="2:9" x14ac:dyDescent="0.3">
      <c r="B50" s="1832" t="s">
        <v>2180</v>
      </c>
      <c r="C50" s="1833"/>
      <c r="D50" s="1833"/>
      <c r="E50" s="1834"/>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3">
      <c r="B53" s="1830"/>
      <c r="C53" s="1830"/>
      <c r="D53" s="1830"/>
      <c r="E53" s="1830"/>
      <c r="F53" s="1830"/>
      <c r="G53" s="556"/>
      <c r="H53" s="556"/>
    </row>
    <row r="54" spans="2:9" x14ac:dyDescent="0.3">
      <c r="B54" s="1838" t="s">
        <v>2179</v>
      </c>
      <c r="C54" s="1839"/>
      <c r="D54" s="1839"/>
      <c r="E54" s="1839"/>
      <c r="F54" s="1839"/>
      <c r="G54" s="1839"/>
      <c r="H54" s="1839"/>
      <c r="I54" s="1840"/>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3">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53" t="s">
        <v>3308</v>
      </c>
      <c r="C60" s="1853"/>
      <c r="D60" s="1853"/>
      <c r="E60" s="1853"/>
      <c r="F60" s="1853"/>
      <c r="G60" s="1853"/>
      <c r="H60" s="1853"/>
    </row>
    <row r="61" spans="2:9" x14ac:dyDescent="0.3">
      <c r="B61" s="1720" t="s">
        <v>2330</v>
      </c>
      <c r="C61" s="1720"/>
      <c r="D61" s="1720"/>
      <c r="E61" s="1720"/>
      <c r="F61" s="1720"/>
      <c r="G61" s="1720"/>
    </row>
    <row r="62" spans="2:9" ht="15" customHeight="1" x14ac:dyDescent="0.3">
      <c r="B62" s="1216"/>
      <c r="C62" s="1213"/>
      <c r="D62" s="1213"/>
      <c r="E62" s="1213"/>
      <c r="F62" s="1213"/>
      <c r="G62" s="1213"/>
    </row>
    <row r="63" spans="2:9" x14ac:dyDescent="0.3">
      <c r="B63" s="1854" t="s">
        <v>2181</v>
      </c>
      <c r="C63" s="1855"/>
    </row>
    <row r="64" spans="2:9" x14ac:dyDescent="0.3">
      <c r="B64" s="946" t="s">
        <v>109</v>
      </c>
      <c r="C64" s="947">
        <f>'2. Roles &amp; Pricing'!D289</f>
        <v>813000</v>
      </c>
    </row>
    <row r="65" spans="2:8" x14ac:dyDescent="0.3">
      <c r="B65" s="948" t="s">
        <v>1466</v>
      </c>
      <c r="C65" s="949">
        <v>0.05</v>
      </c>
    </row>
    <row r="66" spans="2:8" x14ac:dyDescent="0.3">
      <c r="B66" s="1142" t="s">
        <v>1467</v>
      </c>
      <c r="C66" s="1143" t="s">
        <v>2170</v>
      </c>
    </row>
    <row r="67" spans="2:8" x14ac:dyDescent="0.3">
      <c r="B67" s="1464" t="s">
        <v>1468</v>
      </c>
      <c r="C67" s="1144">
        <f>IFERROR(IF(C65="Enter Discount %",C66,(C64*C65)),"")</f>
        <v>40650</v>
      </c>
    </row>
    <row r="69" spans="2:8" ht="17.5" x14ac:dyDescent="0.3">
      <c r="B69" s="859" t="s">
        <v>2332</v>
      </c>
      <c r="C69" s="563"/>
      <c r="D69" s="403"/>
      <c r="E69" s="564"/>
      <c r="F69" s="564"/>
      <c r="G69" s="564"/>
      <c r="H69" s="565"/>
    </row>
    <row r="70" spans="2:8" ht="29" customHeight="1" x14ac:dyDescent="0.3">
      <c r="B70" s="1831" t="s">
        <v>2378</v>
      </c>
      <c r="C70" s="1831"/>
      <c r="D70" s="1831"/>
      <c r="E70" s="1831"/>
      <c r="F70" s="1831"/>
      <c r="G70" s="1831"/>
      <c r="H70" s="1831"/>
    </row>
    <row r="71" spans="2:8" ht="15" customHeight="1" x14ac:dyDescent="0.3">
      <c r="B71" s="1216"/>
      <c r="C71" s="1213"/>
      <c r="D71" s="1213"/>
      <c r="E71" s="1213"/>
      <c r="F71" s="1213"/>
      <c r="G71" s="1213"/>
    </row>
    <row r="72" spans="2:8" x14ac:dyDescent="0.3">
      <c r="B72" s="1845" t="s">
        <v>2290</v>
      </c>
      <c r="C72" s="1846"/>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47">
        <f>SUMIFS($C$73:$C$76,$D$73:$D$76,"Yes")</f>
        <v>1500</v>
      </c>
      <c r="D77" s="1848"/>
    </row>
    <row r="78" spans="2:8" x14ac:dyDescent="0.3">
      <c r="B78" s="1530" t="s">
        <v>3313</v>
      </c>
      <c r="C78" s="1849">
        <f>SUMIFS($C$73:$C$76,$D$73:$D$76,"No")</f>
        <v>2000</v>
      </c>
      <c r="D78" s="1850"/>
    </row>
    <row r="79" spans="2:8" x14ac:dyDescent="0.3">
      <c r="B79" s="566"/>
      <c r="C79" s="567"/>
      <c r="D79" s="568"/>
    </row>
    <row r="80" spans="2:8" ht="17.5" x14ac:dyDescent="0.3">
      <c r="B80" s="859" t="s">
        <v>3225</v>
      </c>
      <c r="C80" s="1465"/>
      <c r="D80" s="563"/>
      <c r="E80" s="564"/>
      <c r="F80" s="564"/>
      <c r="G80" s="564"/>
    </row>
    <row r="81" spans="2:8" x14ac:dyDescent="0.3">
      <c r="B81" s="1831" t="s">
        <v>3309</v>
      </c>
      <c r="C81" s="1831"/>
      <c r="D81" s="1831"/>
      <c r="E81" s="1831"/>
      <c r="F81" s="1831"/>
      <c r="G81" s="1831"/>
      <c r="H81" s="1831"/>
    </row>
    <row r="82" spans="2:8" x14ac:dyDescent="0.3">
      <c r="B82" s="1721" t="s">
        <v>3310</v>
      </c>
      <c r="C82" s="1721"/>
      <c r="D82" s="1721"/>
      <c r="E82" s="1721"/>
      <c r="F82" s="1721"/>
      <c r="G82" s="1721"/>
    </row>
    <row r="83" spans="2:8" ht="15" customHeight="1" x14ac:dyDescent="0.3">
      <c r="B83" s="1216"/>
      <c r="C83" s="1213"/>
      <c r="D83" s="1213"/>
      <c r="E83" s="1213"/>
      <c r="F83" s="1213"/>
      <c r="G83" s="1213"/>
    </row>
    <row r="84" spans="2:8" x14ac:dyDescent="0.3">
      <c r="B84" s="1851" t="s">
        <v>221</v>
      </c>
      <c r="C84" s="1852"/>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31" t="s">
        <v>2335</v>
      </c>
      <c r="C91" s="1831"/>
      <c r="D91" s="1831"/>
      <c r="E91" s="1831"/>
      <c r="F91" s="1831"/>
      <c r="G91" s="1831"/>
      <c r="H91" s="1831"/>
    </row>
    <row r="92" spans="2:8" x14ac:dyDescent="0.3">
      <c r="B92" s="1721" t="s">
        <v>2334</v>
      </c>
      <c r="C92" s="1721"/>
      <c r="D92" s="1721"/>
      <c r="E92" s="1721"/>
      <c r="F92" s="1721"/>
      <c r="G92" s="1721"/>
    </row>
    <row r="93" spans="2:8" ht="15" customHeight="1" x14ac:dyDescent="0.3">
      <c r="B93" s="1216"/>
      <c r="C93" s="1213"/>
      <c r="D93" s="1213"/>
      <c r="E93" s="1213"/>
      <c r="F93" s="1213"/>
      <c r="G93" s="1213"/>
    </row>
    <row r="94" spans="2:8" x14ac:dyDescent="0.3">
      <c r="B94" s="1843" t="s">
        <v>214</v>
      </c>
      <c r="C94" s="1844"/>
    </row>
    <row r="95" spans="2:8" x14ac:dyDescent="0.3">
      <c r="B95" s="1841" t="s">
        <v>2169</v>
      </c>
      <c r="C95" s="1842"/>
    </row>
    <row r="96" spans="2:8" x14ac:dyDescent="0.3">
      <c r="B96" s="1826" t="s">
        <v>2169</v>
      </c>
      <c r="C96" s="1827"/>
    </row>
    <row r="97" spans="2:7" x14ac:dyDescent="0.3">
      <c r="B97" s="1826"/>
      <c r="C97" s="1827"/>
    </row>
    <row r="98" spans="2:7" x14ac:dyDescent="0.3">
      <c r="B98" s="1826"/>
      <c r="C98" s="1827"/>
    </row>
    <row r="99" spans="2:7" x14ac:dyDescent="0.3">
      <c r="B99" s="1826"/>
      <c r="C99" s="1827"/>
    </row>
    <row r="100" spans="2:7" x14ac:dyDescent="0.3">
      <c r="B100" s="1826"/>
      <c r="C100" s="1827"/>
    </row>
    <row r="101" spans="2:7" x14ac:dyDescent="0.3">
      <c r="B101" s="1826"/>
      <c r="C101" s="1827"/>
    </row>
    <row r="102" spans="2:7" x14ac:dyDescent="0.3">
      <c r="B102" s="1828"/>
      <c r="C102" s="1829"/>
    </row>
    <row r="107" spans="2:7" x14ac:dyDescent="0.3">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04"/>
      <c r="K1" s="1704"/>
      <c r="L1" s="1704"/>
    </row>
    <row r="2" spans="2:20" s="469" customFormat="1" ht="25.5" x14ac:dyDescent="0.3">
      <c r="B2" s="1871" t="s">
        <v>3196</v>
      </c>
      <c r="C2" s="1871"/>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73" t="s">
        <v>3282</v>
      </c>
      <c r="C7" s="1873"/>
      <c r="D7" s="1873"/>
      <c r="E7" s="1873"/>
      <c r="F7" s="1873"/>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33" t="s">
        <v>2379</v>
      </c>
      <c r="C10" s="1733"/>
      <c r="D10" s="1733"/>
      <c r="E10" s="1733"/>
      <c r="F10" s="1733"/>
      <c r="H10" s="579"/>
    </row>
    <row r="11" spans="2:20" ht="17" customHeight="1" x14ac:dyDescent="0.3">
      <c r="B11" s="1658" t="s">
        <v>2199</v>
      </c>
      <c r="C11" s="1659"/>
      <c r="D11" s="480"/>
      <c r="E11" s="1872"/>
      <c r="F11" s="1872"/>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72"/>
      <c r="F15" s="1872"/>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RaisinAnalytics</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Fixed Fee</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33" t="s">
        <v>2337</v>
      </c>
      <c r="C32" s="1733"/>
      <c r="D32" s="1733"/>
      <c r="E32" s="1733"/>
      <c r="F32" s="1733"/>
      <c r="H32" s="579"/>
    </row>
    <row r="33" spans="2:20" x14ac:dyDescent="0.3">
      <c r="B33" s="1733" t="s">
        <v>3300</v>
      </c>
      <c r="C33" s="1733"/>
      <c r="D33" s="1733"/>
      <c r="E33" s="1733"/>
      <c r="F33" s="1733"/>
      <c r="G33" s="413"/>
      <c r="S33" s="581"/>
      <c r="T33" s="596"/>
    </row>
    <row r="34" spans="2:20" ht="17.5" x14ac:dyDescent="0.3">
      <c r="B34" s="1235"/>
      <c r="C34" s="599"/>
      <c r="D34" s="413"/>
      <c r="E34" s="594"/>
      <c r="F34" s="594"/>
      <c r="G34" s="413"/>
      <c r="S34" s="581"/>
      <c r="T34" s="596"/>
    </row>
    <row r="35" spans="2:20" x14ac:dyDescent="0.3">
      <c r="B35" s="1658" t="s">
        <v>3209</v>
      </c>
      <c r="C35" s="1659"/>
      <c r="D35" s="413"/>
      <c r="E35" s="594"/>
      <c r="F35" s="594"/>
      <c r="G35" s="413"/>
      <c r="S35" s="581"/>
      <c r="T35" s="596"/>
    </row>
    <row r="36" spans="2:20" x14ac:dyDescent="0.3">
      <c r="B36" s="964" t="s">
        <v>2080</v>
      </c>
      <c r="C36" s="1407">
        <f>C61</f>
        <v>861000</v>
      </c>
      <c r="D36" s="413"/>
      <c r="E36" s="594"/>
      <c r="F36" s="594"/>
      <c r="G36" s="413"/>
      <c r="S36" s="581"/>
      <c r="T36" s="596"/>
    </row>
    <row r="37" spans="2:20" x14ac:dyDescent="0.3">
      <c r="B37" s="963" t="s">
        <v>3227</v>
      </c>
      <c r="C37" s="1408">
        <f>C53</f>
        <v>0.54546561168594032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33" t="s">
        <v>3186</v>
      </c>
      <c r="C40" s="1733"/>
      <c r="D40" s="1733"/>
      <c r="E40" s="1733"/>
      <c r="F40" s="1733"/>
      <c r="H40" s="579"/>
    </row>
    <row r="41" spans="2:20" x14ac:dyDescent="0.3">
      <c r="B41" s="1733" t="s">
        <v>3283</v>
      </c>
      <c r="C41" s="1733"/>
      <c r="D41" s="1733"/>
      <c r="E41" s="1733"/>
      <c r="F41" s="1733"/>
      <c r="G41" s="413"/>
      <c r="S41" s="581"/>
      <c r="T41" s="596"/>
    </row>
    <row r="42" spans="2:20" ht="30" customHeight="1" x14ac:dyDescent="0.3">
      <c r="B42" s="1670" t="s">
        <v>3194</v>
      </c>
      <c r="C42" s="1670"/>
      <c r="D42" s="1670"/>
      <c r="E42" s="1670"/>
      <c r="F42" s="1670"/>
      <c r="G42" s="413"/>
      <c r="S42" s="581"/>
      <c r="T42" s="596"/>
    </row>
    <row r="43" spans="2:20" ht="17.5" x14ac:dyDescent="0.3">
      <c r="B43" s="1235"/>
      <c r="C43" s="599"/>
      <c r="D43" s="413"/>
      <c r="E43" s="594"/>
      <c r="F43" s="594"/>
      <c r="G43" s="413"/>
      <c r="S43" s="581"/>
      <c r="T43" s="596"/>
    </row>
    <row r="44" spans="2:20" x14ac:dyDescent="0.3">
      <c r="B44" s="1658" t="s">
        <v>3210</v>
      </c>
      <c r="C44" s="1659"/>
      <c r="D44" s="413"/>
      <c r="E44" s="594"/>
      <c r="F44" s="594"/>
      <c r="G44" s="413"/>
      <c r="S44" s="581"/>
      <c r="T44" s="596"/>
    </row>
    <row r="45" spans="2:20" x14ac:dyDescent="0.3">
      <c r="B45" s="964" t="s">
        <v>2087</v>
      </c>
      <c r="C45" s="1409">
        <f>IF(OR(C23="T&amp;M",C23="T&amp;M NTE"),C60,C61)</f>
        <v>861000</v>
      </c>
      <c r="D45" s="413"/>
      <c r="E45" s="594"/>
      <c r="F45" s="594"/>
      <c r="G45" s="413"/>
      <c r="S45" s="581"/>
      <c r="T45" s="596"/>
    </row>
    <row r="46" spans="2:20" x14ac:dyDescent="0.3">
      <c r="B46" s="961" t="s">
        <v>2088</v>
      </c>
      <c r="C46" s="1410">
        <f>COUNTA('2. Roles &amp; Pricing'!K48:K147)</f>
        <v>7</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696" t="s">
        <v>2309</v>
      </c>
      <c r="C51" s="1696"/>
      <c r="D51" s="1696"/>
      <c r="E51" s="1696"/>
      <c r="F51" s="1696"/>
    </row>
    <row r="52" spans="2:20" ht="20" customHeight="1" x14ac:dyDescent="0.3">
      <c r="B52" s="1658" t="s">
        <v>3394</v>
      </c>
      <c r="C52" s="1659"/>
      <c r="E52" s="413"/>
      <c r="J52" s="492"/>
      <c r="K52" s="600"/>
      <c r="L52" s="492"/>
    </row>
    <row r="53" spans="2:20" x14ac:dyDescent="0.3">
      <c r="B53" s="1240" t="s">
        <v>1673</v>
      </c>
      <c r="C53" s="1412">
        <f>IFERROR((C72-C79)/C72,"")</f>
        <v>0.54546561168594032</v>
      </c>
      <c r="E53" s="413"/>
      <c r="J53" s="495"/>
      <c r="K53" s="601"/>
      <c r="L53" s="496"/>
    </row>
    <row r="54" spans="2:20" x14ac:dyDescent="0.3">
      <c r="B54" s="867" t="s">
        <v>111</v>
      </c>
      <c r="C54" s="1413">
        <f>IFERROR('2. Roles &amp; Pricing'!$D$289/'2. Roles &amp; Pricing'!M289,"")</f>
        <v>95.422535211267601</v>
      </c>
      <c r="E54" s="413"/>
      <c r="J54" s="495"/>
      <c r="K54" s="601"/>
      <c r="L54" s="496"/>
    </row>
    <row r="55" spans="2:20" x14ac:dyDescent="0.3">
      <c r="B55" s="1239" t="s">
        <v>2093</v>
      </c>
      <c r="C55" s="1414">
        <f>IFERROR(($C$71+$C$67*(1+C56)),"Enter Contingency % on Summary Inputs")</f>
        <v>860650</v>
      </c>
      <c r="E55" s="602"/>
      <c r="J55" s="495"/>
      <c r="K55" s="601"/>
      <c r="L55" s="496"/>
      <c r="T55" s="603"/>
    </row>
    <row r="56" spans="2:20" ht="14" customHeight="1" x14ac:dyDescent="0.3">
      <c r="B56" s="1567" t="s">
        <v>2079</v>
      </c>
      <c r="C56" s="1869">
        <f>'3. Financial Inputs'!C17</f>
        <v>0.05</v>
      </c>
      <c r="E56" s="484"/>
      <c r="J56" s="495"/>
      <c r="K56" s="601"/>
      <c r="L56" s="496"/>
    </row>
    <row r="57" spans="2:20" ht="14" customHeight="1" x14ac:dyDescent="0.3">
      <c r="B57" s="1568" t="s">
        <v>3414</v>
      </c>
      <c r="C57" s="1870"/>
      <c r="E57" s="484"/>
      <c r="J57" s="495"/>
      <c r="K57" s="601"/>
      <c r="L57" s="496"/>
    </row>
    <row r="58" spans="2:20" ht="14" customHeight="1" x14ac:dyDescent="0.3">
      <c r="B58" s="965" t="s">
        <v>1468</v>
      </c>
      <c r="C58" s="1415">
        <f>IF('3. Financial Inputs'!C67="",0,'3. Financial Inputs'!C67)</f>
        <v>40650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820000</v>
      </c>
      <c r="E60" s="484"/>
      <c r="J60" s="495"/>
      <c r="K60" s="601"/>
      <c r="L60" s="496"/>
      <c r="T60" s="605"/>
    </row>
    <row r="61" spans="2:20" x14ac:dyDescent="0.3">
      <c r="B61" s="1238" t="s">
        <v>2081</v>
      </c>
      <c r="C61" s="1540">
        <f>IFERROR(C60*(1+C56),"Incomplete Project Information")</f>
        <v>861000</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68" t="s">
        <v>3195</v>
      </c>
      <c r="C65" s="1868"/>
      <c r="D65" s="1542"/>
      <c r="E65" s="1542"/>
      <c r="F65" s="1542"/>
      <c r="J65" s="495"/>
      <c r="K65" s="601"/>
      <c r="L65" s="496"/>
      <c r="T65" s="605"/>
    </row>
    <row r="66" spans="2:20" ht="18" customHeight="1" x14ac:dyDescent="0.3">
      <c r="B66" s="1660" t="s">
        <v>3395</v>
      </c>
      <c r="C66" s="1661"/>
      <c r="D66" s="413"/>
      <c r="E66" s="413"/>
      <c r="J66" s="495"/>
      <c r="K66" s="601"/>
      <c r="L66" s="496"/>
      <c r="T66" s="605"/>
    </row>
    <row r="67" spans="2:20" ht="18" customHeight="1" x14ac:dyDescent="0.3">
      <c r="B67" s="966" t="s">
        <v>3320</v>
      </c>
      <c r="C67" s="1417">
        <f>IFERROR('2. Roles &amp; Pricing'!D289,0)</f>
        <v>813000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40650</v>
      </c>
      <c r="D69" s="413"/>
      <c r="E69" s="413"/>
      <c r="J69" s="495"/>
      <c r="K69" s="601"/>
      <c r="L69" s="496"/>
      <c r="T69" s="605"/>
    </row>
    <row r="70" spans="2:20" ht="18" customHeight="1" x14ac:dyDescent="0.3">
      <c r="B70" s="969" t="s">
        <v>1468</v>
      </c>
      <c r="C70" s="1420">
        <f>-1*'3. Financial Inputs'!C67</f>
        <v>-40650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821500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68" t="s">
        <v>3195</v>
      </c>
      <c r="C75" s="1868"/>
      <c r="D75" s="1542"/>
      <c r="E75" s="1542"/>
      <c r="F75" s="1542"/>
      <c r="J75" s="495"/>
      <c r="K75" s="601"/>
      <c r="L75" s="496"/>
    </row>
    <row r="76" spans="2:20" x14ac:dyDescent="0.3">
      <c r="B76" s="1660" t="s">
        <v>3316</v>
      </c>
      <c r="C76" s="1661"/>
      <c r="D76" s="413"/>
      <c r="E76" s="413"/>
      <c r="J76" s="495"/>
      <c r="K76" s="601"/>
      <c r="L76" s="496"/>
    </row>
    <row r="77" spans="2:20" x14ac:dyDescent="0.3">
      <c r="B77" s="967" t="s">
        <v>239</v>
      </c>
      <c r="C77" s="1418">
        <f>SUM('2. Roles &amp; Pricing'!$F$291:$F$390)</f>
        <v>371400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373400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67"/>
      <c r="C83" s="1867"/>
      <c r="D83" s="1867"/>
      <c r="E83" s="1867"/>
      <c r="F83" s="1867"/>
      <c r="L83" s="412"/>
    </row>
    <row r="84" spans="2:12" x14ac:dyDescent="0.3">
      <c r="B84" s="1860" t="s">
        <v>188</v>
      </c>
      <c r="C84" s="1861"/>
      <c r="E84" s="429"/>
      <c r="L84" s="412"/>
    </row>
    <row r="85" spans="2:12" x14ac:dyDescent="0.3">
      <c r="B85" s="1148" t="s">
        <v>190</v>
      </c>
      <c r="C85" s="1463">
        <f>IFERROR((SUMIF('2. Roles &amp; Pricing'!W48:W147,"Offshore",'2. Roles &amp; Pricing'!D291:D390))/SUMIF('2. Roles &amp; Pricing'!W48:W147,"Offshore",'2. Roles &amp; Pricing'!M291:M390),"")</f>
        <v>75</v>
      </c>
      <c r="E85" s="429"/>
      <c r="L85" s="412"/>
    </row>
    <row r="86" spans="2:12" x14ac:dyDescent="0.3">
      <c r="B86" s="1149" t="s">
        <v>191</v>
      </c>
      <c r="C86" s="1422">
        <f>IFERROR((SUMIF('2. Roles &amp; Pricing'!W48:W147,"Onshore",'2. Roles &amp; Pricing'!D291:D390))/SUMIF('2. Roles &amp; Pricing'!W48:W147,"Onshore",'2. Roles &amp; Pricing'!M291:M390),"")</f>
        <v>212.5</v>
      </c>
      <c r="E86" s="429"/>
      <c r="L86" s="412"/>
    </row>
    <row r="87" spans="2:12" x14ac:dyDescent="0.3">
      <c r="B87" s="1149" t="s">
        <v>192</v>
      </c>
      <c r="C87" s="1423">
        <f>IFERROR((COUNTIF('2. Roles &amp; Pricing'!W48:W147,"Offshore")/SUM(COUNTIF('2. Roles &amp; Pricing'!W48:W147,"Onshore"),COUNTIF('2. Roles &amp; Pricing'!W48:W147,"Offshore"))),"")</f>
        <v>0.7142857142857143</v>
      </c>
      <c r="E87" s="429"/>
      <c r="L87" s="412"/>
    </row>
    <row r="88" spans="2:12" x14ac:dyDescent="0.3">
      <c r="B88" s="1149" t="s">
        <v>111</v>
      </c>
      <c r="C88" s="1422">
        <f>IFERROR('2. Roles &amp; Pricing'!D289/'2. Roles &amp; Pricing'!M289,"")</f>
        <v>95.422535211267601</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7</v>
      </c>
      <c r="E93" s="429"/>
      <c r="L93" s="412"/>
    </row>
    <row r="94" spans="2:12" x14ac:dyDescent="0.3">
      <c r="E94" s="429"/>
      <c r="L94" s="412"/>
    </row>
    <row r="95" spans="2:12" x14ac:dyDescent="0.3">
      <c r="E95" s="429"/>
      <c r="L95" s="412"/>
    </row>
    <row r="96" spans="2:12" x14ac:dyDescent="0.3">
      <c r="B96" s="1660" t="s">
        <v>199</v>
      </c>
      <c r="C96" s="1866"/>
      <c r="D96" s="1866"/>
      <c r="E96" s="1866"/>
      <c r="F96" s="1661"/>
      <c r="H96" s="1865"/>
      <c r="I96" s="1865"/>
      <c r="J96" s="1865"/>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2" t="s">
        <v>226</v>
      </c>
      <c r="C107" s="1863"/>
      <c r="D107" s="1864"/>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3">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3">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3">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60" t="s">
        <v>2161</v>
      </c>
      <c r="D13" s="1661"/>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60" t="s">
        <v>2182</v>
      </c>
      <c r="D19" s="1866"/>
      <c r="E19" s="1661"/>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3" t="s">
        <v>0</v>
      </c>
      <c r="J2" s="1697"/>
      <c r="K2" s="1937"/>
      <c r="L2" s="622" t="s">
        <v>2241</v>
      </c>
      <c r="P2" s="745"/>
      <c r="Q2" s="745"/>
      <c r="R2" s="469"/>
      <c r="S2" s="469"/>
    </row>
    <row r="3" spans="2:19" s="744" customFormat="1" ht="42" x14ac:dyDescent="0.3">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3" t="s">
        <v>3684</v>
      </c>
      <c r="C6" s="1953"/>
      <c r="D6" s="1953"/>
      <c r="E6" s="1597"/>
      <c r="F6" s="1597"/>
      <c r="J6" s="1598"/>
      <c r="P6" s="852"/>
      <c r="Q6" s="852"/>
    </row>
    <row r="7" spans="2:19" s="407" customFormat="1" ht="15" customHeight="1" x14ac:dyDescent="0.3">
      <c r="B7" s="1951" t="s">
        <v>3686</v>
      </c>
      <c r="C7" s="1951"/>
      <c r="D7" s="1951"/>
      <c r="E7" s="1951"/>
      <c r="F7" s="1951"/>
      <c r="G7" s="1951"/>
      <c r="H7" s="1951"/>
      <c r="I7" s="1951"/>
      <c r="J7" s="1951"/>
      <c r="P7" s="852"/>
      <c r="Q7" s="852"/>
      <c r="R7" s="406"/>
      <c r="S7" s="406"/>
    </row>
    <row r="8" spans="2:19" s="407" customFormat="1" ht="26" customHeight="1" x14ac:dyDescent="0.3">
      <c r="B8" s="1951"/>
      <c r="C8" s="1951"/>
      <c r="D8" s="1951"/>
      <c r="E8" s="1951"/>
      <c r="F8" s="1951"/>
      <c r="G8" s="1951"/>
      <c r="H8" s="1951"/>
      <c r="I8" s="1951"/>
      <c r="J8" s="1951"/>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2" t="s">
        <v>3284</v>
      </c>
      <c r="C11" s="1952"/>
      <c r="D11" s="1952"/>
      <c r="E11" s="444"/>
      <c r="F11" s="444"/>
    </row>
    <row r="12" spans="2:19" x14ac:dyDescent="0.3">
      <c r="B12" s="1948" t="s">
        <v>2288</v>
      </c>
      <c r="C12" s="1949"/>
      <c r="D12" s="1949"/>
      <c r="E12" s="1949"/>
      <c r="F12" s="1950"/>
      <c r="G12" s="1551"/>
      <c r="H12" s="1551"/>
      <c r="I12" s="1551"/>
      <c r="J12" s="1551"/>
    </row>
    <row r="13" spans="2:19" s="411" customFormat="1" x14ac:dyDescent="0.3">
      <c r="B13" s="873" t="s">
        <v>1304</v>
      </c>
      <c r="C13" s="1959" t="str">
        <f>'1. Project Inputs'!C18</f>
        <v>C Spire</v>
      </c>
      <c r="D13" s="1959"/>
      <c r="E13" s="1959"/>
      <c r="F13" s="1960"/>
      <c r="M13" s="1954"/>
      <c r="N13" s="1954"/>
      <c r="P13" s="632"/>
      <c r="Q13" s="632"/>
      <c r="R13" s="395"/>
      <c r="S13" s="395"/>
    </row>
    <row r="14" spans="2:19" s="411" customFormat="1" x14ac:dyDescent="0.3">
      <c r="B14" s="869" t="s">
        <v>1886</v>
      </c>
      <c r="C14" s="1955" t="s">
        <v>4</v>
      </c>
      <c r="D14" s="1955"/>
      <c r="E14" s="1955"/>
      <c r="F14" s="1956"/>
      <c r="M14" s="476"/>
      <c r="N14" s="476"/>
      <c r="O14" s="632"/>
      <c r="P14" s="395"/>
      <c r="Q14" s="395"/>
    </row>
    <row r="15" spans="2:19" s="411" customFormat="1" x14ac:dyDescent="0.3">
      <c r="B15" s="869" t="s">
        <v>1888</v>
      </c>
      <c r="C15" s="1955" t="s">
        <v>4</v>
      </c>
      <c r="D15" s="1955"/>
      <c r="E15" s="1955"/>
      <c r="F15" s="1956"/>
      <c r="M15" s="476"/>
      <c r="N15" s="476"/>
      <c r="P15" s="632"/>
      <c r="Q15" s="632"/>
      <c r="R15" s="395"/>
      <c r="S15" s="395"/>
    </row>
    <row r="16" spans="2:19" s="411" customFormat="1" x14ac:dyDescent="0.3">
      <c r="B16" s="869" t="s">
        <v>22</v>
      </c>
      <c r="C16" s="1957" t="str">
        <f>'1. Project Inputs'!C23</f>
        <v>RaisinAnalytics</v>
      </c>
      <c r="D16" s="1957"/>
      <c r="E16" s="1957"/>
      <c r="F16" s="1958"/>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0">
        <f>'1. Project Inputs'!C27</f>
        <v>45916</v>
      </c>
      <c r="D19" s="1940"/>
      <c r="E19" s="1940"/>
      <c r="F19" s="1941"/>
      <c r="P19" s="632"/>
      <c r="Q19" s="632"/>
      <c r="R19" s="395"/>
      <c r="S19" s="395"/>
    </row>
    <row r="20" spans="2:19" s="411" customFormat="1" x14ac:dyDescent="0.3">
      <c r="B20" s="876" t="s">
        <v>50</v>
      </c>
      <c r="C20" s="1942">
        <f>'1. Project Inputs'!C29</f>
        <v>30</v>
      </c>
      <c r="D20" s="1943"/>
      <c r="E20" s="1943"/>
      <c r="F20" s="1944"/>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5" t="s">
        <v>2394</v>
      </c>
      <c r="C23" s="1945"/>
      <c r="D23" s="1945"/>
      <c r="E23" s="1945"/>
      <c r="F23" s="1945"/>
      <c r="G23" s="1945"/>
      <c r="H23" s="1945"/>
      <c r="I23" s="1945"/>
      <c r="J23" s="1945"/>
    </row>
    <row r="24" spans="2:19" ht="22" customHeight="1" x14ac:dyDescent="0.3">
      <c r="B24" s="1611" t="s">
        <v>2370</v>
      </c>
      <c r="C24" s="1961" t="s">
        <v>1892</v>
      </c>
      <c r="D24" s="1962"/>
      <c r="E24" s="1962"/>
      <c r="F24" s="1962"/>
      <c r="G24" s="1962"/>
      <c r="H24" s="1963"/>
      <c r="I24" s="1612" t="s">
        <v>3682</v>
      </c>
      <c r="J24" s="1612" t="s">
        <v>1893</v>
      </c>
      <c r="K24" s="1613"/>
      <c r="L24" s="1614"/>
      <c r="S24" s="754"/>
    </row>
    <row r="25" spans="2:19" ht="22" customHeight="1" x14ac:dyDescent="0.3">
      <c r="B25" s="1605" t="s">
        <v>1894</v>
      </c>
      <c r="C25" s="1992"/>
      <c r="D25" s="1992"/>
      <c r="E25" s="1992"/>
      <c r="F25" s="1992"/>
      <c r="G25" s="1593"/>
      <c r="H25" s="1593"/>
      <c r="I25" s="1593"/>
      <c r="J25" s="1593"/>
      <c r="K25" s="1593"/>
      <c r="L25" s="1606"/>
      <c r="S25" s="412"/>
    </row>
    <row r="26" spans="2:19" ht="20" customHeight="1" x14ac:dyDescent="0.3">
      <c r="B26" s="998" t="s">
        <v>109</v>
      </c>
      <c r="C26" s="1896">
        <f>'4. Summary &amp; Totals'!C61</f>
        <v>861000</v>
      </c>
      <c r="D26" s="1897"/>
      <c r="E26" s="1897"/>
      <c r="F26" s="1897"/>
      <c r="G26" s="1897"/>
      <c r="H26" s="1898"/>
      <c r="I26" s="1601"/>
      <c r="J26" s="1894"/>
      <c r="K26" s="1894"/>
      <c r="L26" s="1895"/>
    </row>
    <row r="27" spans="2:19" ht="20" customHeight="1" x14ac:dyDescent="0.3">
      <c r="B27" s="999" t="s">
        <v>1673</v>
      </c>
      <c r="C27" s="1899">
        <f>'4. Summary &amp; Totals'!C37</f>
        <v>0.54546561168594032</v>
      </c>
      <c r="D27" s="1900"/>
      <c r="E27" s="1900"/>
      <c r="F27" s="1900"/>
      <c r="G27" s="1900"/>
      <c r="H27" s="1901"/>
      <c r="I27" s="1599"/>
      <c r="J27" s="1882"/>
      <c r="K27" s="1882"/>
      <c r="L27" s="1883"/>
    </row>
    <row r="28" spans="2:19" ht="20" customHeight="1" x14ac:dyDescent="0.3">
      <c r="B28" s="999" t="s">
        <v>3400</v>
      </c>
      <c r="C28" s="1902" t="s">
        <v>3687</v>
      </c>
      <c r="D28" s="1903"/>
      <c r="E28" s="1903"/>
      <c r="F28" s="1903"/>
      <c r="G28" s="1903"/>
      <c r="H28" s="1904"/>
      <c r="I28" s="1599"/>
      <c r="J28" s="1882"/>
      <c r="K28" s="1882"/>
      <c r="L28" s="1883"/>
    </row>
    <row r="29" spans="2:19" ht="20" customHeight="1" x14ac:dyDescent="0.3">
      <c r="B29" s="1547"/>
      <c r="C29" s="1905" t="s">
        <v>1895</v>
      </c>
      <c r="D29" s="1906"/>
      <c r="E29" s="1906"/>
      <c r="F29" s="1907"/>
      <c r="G29" s="1905" t="s">
        <v>1896</v>
      </c>
      <c r="H29" s="1911"/>
      <c r="I29" s="1600"/>
      <c r="J29" s="1882"/>
      <c r="K29" s="1882"/>
      <c r="L29" s="1883"/>
    </row>
    <row r="30" spans="2:19" ht="20" customHeight="1" x14ac:dyDescent="0.3">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20" customHeight="1" x14ac:dyDescent="0.3">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20" customHeight="1" x14ac:dyDescent="0.3">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3">
      <c r="B33" s="1001"/>
      <c r="C33" s="1001"/>
      <c r="D33" s="1001"/>
      <c r="E33" s="1001"/>
      <c r="F33" s="1001"/>
      <c r="G33" s="1002"/>
      <c r="H33" s="1003"/>
      <c r="I33" s="1003"/>
      <c r="J33" s="1003"/>
    </row>
    <row r="34" spans="2:12" ht="22" customHeight="1" x14ac:dyDescent="0.3">
      <c r="B34" s="1974" t="s">
        <v>1900</v>
      </c>
      <c r="C34" s="1982"/>
      <c r="D34" s="1982"/>
      <c r="E34" s="1982"/>
      <c r="F34" s="1982"/>
      <c r="G34" s="1982"/>
      <c r="H34" s="1982"/>
      <c r="I34" s="1993"/>
      <c r="J34" s="1964"/>
      <c r="K34" s="1949"/>
      <c r="L34" s="1950"/>
    </row>
    <row r="35" spans="2:12" ht="22" customHeight="1" x14ac:dyDescent="0.3">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 customHeight="1" x14ac:dyDescent="0.3">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3">
      <c r="B37" s="751"/>
      <c r="C37" s="751"/>
      <c r="D37" s="751"/>
      <c r="E37" s="751"/>
      <c r="F37" s="751"/>
      <c r="G37" s="752"/>
      <c r="H37" s="753"/>
      <c r="I37" s="753"/>
      <c r="J37" s="753"/>
    </row>
    <row r="38" spans="2:12" ht="24" customHeight="1" x14ac:dyDescent="0.3">
      <c r="B38" s="1924" t="s">
        <v>1903</v>
      </c>
      <c r="C38" s="1925"/>
      <c r="D38" s="1925"/>
      <c r="E38" s="1925"/>
      <c r="F38" s="1925"/>
      <c r="G38" s="1925"/>
      <c r="H38" s="1925"/>
      <c r="I38" s="1925"/>
      <c r="J38" s="1925"/>
      <c r="K38" s="1925"/>
      <c r="L38" s="1926"/>
    </row>
    <row r="39" spans="2:12" ht="25" customHeight="1" x14ac:dyDescent="0.3">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3">
      <c r="B40" s="999" t="s">
        <v>1905</v>
      </c>
      <c r="C40" s="1887" t="s">
        <v>216</v>
      </c>
      <c r="D40" s="1888"/>
      <c r="E40" s="1888"/>
      <c r="F40" s="1888"/>
      <c r="G40" s="1888"/>
      <c r="H40" s="1889"/>
      <c r="I40" s="997" t="str">
        <f>IFERROR(IF(VLOOKUP(C40,P82:R83,3,0)=0,"",VLOOKUP(C40,P82:R83,3,0)),"MISSING INFO")</f>
        <v>MISSING INFO</v>
      </c>
      <c r="J40" s="1881"/>
      <c r="K40" s="1882"/>
      <c r="L40" s="1883"/>
    </row>
    <row r="41" spans="2:12" ht="14.5" customHeight="1" x14ac:dyDescent="0.3">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3">
      <c r="B42" s="1006"/>
      <c r="C42" s="1968" t="s">
        <v>3401</v>
      </c>
      <c r="D42" s="1969"/>
      <c r="E42" s="1970" t="s">
        <v>119</v>
      </c>
      <c r="F42" s="1971"/>
      <c r="G42" s="1972" t="s">
        <v>1929</v>
      </c>
      <c r="H42" s="1973"/>
      <c r="I42" s="1555"/>
      <c r="J42" s="1881"/>
      <c r="K42" s="1882"/>
      <c r="L42" s="1883"/>
    </row>
    <row r="43" spans="2:12" ht="21" customHeight="1" x14ac:dyDescent="0.3">
      <c r="B43" s="1006"/>
      <c r="C43" s="1557" t="s">
        <v>2101</v>
      </c>
      <c r="D43" s="1557" t="s">
        <v>3402</v>
      </c>
      <c r="E43" s="1557" t="s">
        <v>2101</v>
      </c>
      <c r="F43" s="1557" t="s">
        <v>3402</v>
      </c>
      <c r="G43" s="1557" t="s">
        <v>2101</v>
      </c>
      <c r="H43" s="1557" t="s">
        <v>3402</v>
      </c>
      <c r="I43" s="1555"/>
      <c r="J43" s="1881"/>
      <c r="K43" s="1882"/>
      <c r="L43" s="1883"/>
    </row>
    <row r="44" spans="2:12" ht="21" customHeight="1" x14ac:dyDescent="0.3">
      <c r="B44" s="999" t="s">
        <v>1908</v>
      </c>
      <c r="C44" s="1557"/>
      <c r="D44" s="1557"/>
      <c r="E44" s="1557"/>
      <c r="F44" s="1557"/>
      <c r="G44" s="1557"/>
      <c r="H44" s="1557"/>
      <c r="I44" s="1555"/>
      <c r="J44" s="1881"/>
      <c r="K44" s="1882"/>
      <c r="L44" s="1883"/>
    </row>
    <row r="45" spans="2:12" ht="21" customHeight="1" x14ac:dyDescent="0.3">
      <c r="B45" s="999" t="s">
        <v>3403</v>
      </c>
      <c r="C45" s="1557"/>
      <c r="D45" s="1557"/>
      <c r="E45" s="1557"/>
      <c r="F45" s="1557"/>
      <c r="G45" s="1557"/>
      <c r="H45" s="1557"/>
      <c r="I45" s="1555"/>
      <c r="J45" s="1881"/>
      <c r="K45" s="1882"/>
      <c r="L45" s="1883"/>
    </row>
    <row r="46" spans="2:12" ht="21" customHeight="1" x14ac:dyDescent="0.3">
      <c r="B46" s="999" t="s">
        <v>3404</v>
      </c>
      <c r="C46" s="1557"/>
      <c r="D46" s="1557"/>
      <c r="E46" s="1557"/>
      <c r="F46" s="1557"/>
      <c r="G46" s="1557"/>
      <c r="H46" s="1557"/>
      <c r="I46" s="1555"/>
      <c r="J46" s="1881"/>
      <c r="K46" s="1882"/>
      <c r="L46" s="1883"/>
    </row>
    <row r="47" spans="2:12" ht="21" customHeight="1" x14ac:dyDescent="0.3">
      <c r="B47" s="999" t="s">
        <v>3405</v>
      </c>
      <c r="C47" s="1552"/>
      <c r="D47" s="1552"/>
      <c r="E47" s="1552"/>
      <c r="F47" s="1552"/>
      <c r="G47" s="1553"/>
      <c r="H47" s="1554"/>
      <c r="I47" s="1555"/>
      <c r="J47" s="1881"/>
      <c r="K47" s="1882"/>
      <c r="L47" s="1883"/>
    </row>
    <row r="48" spans="2:12" ht="21" customHeight="1" x14ac:dyDescent="0.3">
      <c r="B48" s="999" t="s">
        <v>3406</v>
      </c>
      <c r="C48" s="1552"/>
      <c r="D48" s="1552"/>
      <c r="E48" s="1552"/>
      <c r="F48" s="1552"/>
      <c r="G48" s="1553"/>
      <c r="H48" s="1554"/>
      <c r="I48" s="1555"/>
      <c r="J48" s="1881"/>
      <c r="K48" s="1882"/>
      <c r="L48" s="1883"/>
    </row>
    <row r="49" spans="2:12" ht="21" customHeight="1" x14ac:dyDescent="0.3">
      <c r="B49" s="999" t="s">
        <v>3407</v>
      </c>
      <c r="C49" s="1552"/>
      <c r="D49" s="1552"/>
      <c r="E49" s="1552"/>
      <c r="F49" s="1552"/>
      <c r="G49" s="1553"/>
      <c r="H49" s="1554"/>
      <c r="I49" s="1555"/>
      <c r="J49" s="1881"/>
      <c r="K49" s="1882"/>
      <c r="L49" s="1883"/>
    </row>
    <row r="50" spans="2:12" ht="45" customHeight="1" x14ac:dyDescent="0.3">
      <c r="B50" s="1000" t="s">
        <v>3408</v>
      </c>
      <c r="C50" s="1548"/>
      <c r="D50" s="1548"/>
      <c r="E50" s="1548"/>
      <c r="F50" s="1548"/>
      <c r="G50" s="1917"/>
      <c r="H50" s="1917"/>
      <c r="I50" s="1556"/>
      <c r="J50" s="1927"/>
      <c r="K50" s="1928"/>
      <c r="L50" s="1929"/>
    </row>
    <row r="51" spans="2:12" x14ac:dyDescent="0.3">
      <c r="B51" s="411"/>
      <c r="C51" s="411"/>
      <c r="D51" s="411"/>
      <c r="E51" s="411"/>
      <c r="F51" s="411"/>
      <c r="G51" s="411"/>
      <c r="H51" s="411"/>
      <c r="I51" s="411"/>
      <c r="J51" s="411"/>
    </row>
    <row r="52" spans="2:12" ht="24" customHeight="1" x14ac:dyDescent="0.3">
      <c r="B52" s="1974" t="s">
        <v>1909</v>
      </c>
      <c r="C52" s="1982"/>
      <c r="D52" s="1982"/>
      <c r="E52" s="1982"/>
      <c r="F52" s="1983"/>
      <c r="G52" s="1559"/>
      <c r="H52" s="1559"/>
      <c r="I52" s="1559"/>
      <c r="J52" s="1559"/>
    </row>
    <row r="53" spans="2:12" ht="45" customHeight="1" x14ac:dyDescent="0.3">
      <c r="B53" s="998" t="s">
        <v>1910</v>
      </c>
      <c r="C53" s="1976" t="s">
        <v>216</v>
      </c>
      <c r="D53" s="1977"/>
      <c r="E53" s="1977"/>
      <c r="F53" s="1978"/>
      <c r="G53" s="1560"/>
      <c r="H53" s="1560"/>
      <c r="I53" s="1561"/>
      <c r="J53" s="1562"/>
    </row>
    <row r="54" spans="2:12" ht="45" customHeight="1" x14ac:dyDescent="0.3">
      <c r="B54" s="1000" t="s">
        <v>1911</v>
      </c>
      <c r="C54" s="1979" t="s">
        <v>216</v>
      </c>
      <c r="D54" s="1980"/>
      <c r="E54" s="1980"/>
      <c r="F54" s="198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74" t="s">
        <v>1912</v>
      </c>
      <c r="C56" s="1975"/>
      <c r="D56" s="1975"/>
      <c r="E56" s="1975"/>
      <c r="F56" s="1975"/>
      <c r="G56" s="1926"/>
      <c r="H56" s="1559"/>
      <c r="I56" s="1559"/>
      <c r="J56" s="1559"/>
    </row>
    <row r="57" spans="2:12" ht="30" customHeight="1" x14ac:dyDescent="0.3">
      <c r="B57" s="1558" t="s">
        <v>1913</v>
      </c>
      <c r="C57" s="1984" t="s">
        <v>2297</v>
      </c>
      <c r="D57" s="1985"/>
      <c r="E57" s="1985"/>
      <c r="F57" s="1985"/>
      <c r="G57" s="1564" t="str">
        <f>IFERROR(IF(VLOOKUP(C57,P102:R103,3,0)=0,"",VLOOKUP(C57,P102:R103,3,0)),"MISSING INFO")</f>
        <v>MISSING INFO</v>
      </c>
      <c r="H57" s="1560"/>
      <c r="I57" s="1560"/>
      <c r="J57" s="1563"/>
    </row>
    <row r="58" spans="2:12" x14ac:dyDescent="0.3">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3">
      <c r="B59" s="1558" t="s">
        <v>1915</v>
      </c>
      <c r="C59" s="1930" t="s">
        <v>2298</v>
      </c>
      <c r="D59" s="1931"/>
      <c r="E59" s="1931"/>
      <c r="F59" s="1931"/>
      <c r="G59" s="1565" t="str">
        <f>IFERROR(IF(VLOOKUP(C59,P109:R111,3,0)=0,"",VLOOKUP(C59,P109:R111,3,0)),"MISSING INFO")</f>
        <v>MISSING INFO</v>
      </c>
      <c r="H59" s="1560"/>
      <c r="I59" s="1560"/>
      <c r="J59" s="1562"/>
    </row>
    <row r="60" spans="2:12" ht="14" customHeight="1" x14ac:dyDescent="0.3">
      <c r="B60" s="1558" t="s">
        <v>3409</v>
      </c>
      <c r="C60" s="1930" t="s">
        <v>2300</v>
      </c>
      <c r="D60" s="1931"/>
      <c r="E60" s="1931"/>
      <c r="F60" s="1931"/>
      <c r="G60" s="1565" t="str">
        <f>IFERROR(IF(VLOOKUP(C60,P115:R121,3,0)=0,"",VLOOKUP(C60,P115:R121,3,0)),"MISSING INFO")</f>
        <v>MISSING INFO</v>
      </c>
      <c r="H60" s="1560"/>
      <c r="I60" s="1560"/>
      <c r="J60" s="1563"/>
    </row>
    <row r="61" spans="2:12" ht="14" customHeight="1" x14ac:dyDescent="0.3">
      <c r="B61" s="1558" t="s">
        <v>3410</v>
      </c>
      <c r="C61" s="1930" t="s">
        <v>2299</v>
      </c>
      <c r="D61" s="1931"/>
      <c r="E61" s="1931"/>
      <c r="F61" s="1931"/>
      <c r="G61" s="1565" t="str">
        <f>IFERROR(IF(VLOOKUP(C61,P123:R124,3,0)=0,"",VLOOKUP(C61,P123:R124,3,0)),"MISSING INFO")</f>
        <v>MISSING INFO</v>
      </c>
      <c r="H61" s="1560"/>
      <c r="I61" s="1560"/>
      <c r="J61" s="1563"/>
    </row>
    <row r="62" spans="2:12" x14ac:dyDescent="0.3">
      <c r="B62" s="1558" t="s">
        <v>1916</v>
      </c>
      <c r="C62" s="1930" t="s">
        <v>2299</v>
      </c>
      <c r="D62" s="1931"/>
      <c r="E62" s="1931"/>
      <c r="F62" s="1931"/>
      <c r="G62" s="1565"/>
      <c r="H62" s="1560"/>
      <c r="I62" s="1560"/>
      <c r="J62" s="1563"/>
    </row>
    <row r="63" spans="2:12" x14ac:dyDescent="0.3">
      <c r="B63" s="1558" t="s">
        <v>3411</v>
      </c>
      <c r="C63" s="1932" t="s">
        <v>216</v>
      </c>
      <c r="D63" s="1933"/>
      <c r="E63" s="1933"/>
      <c r="F63" s="1933"/>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34" t="s">
        <v>1919</v>
      </c>
      <c r="D67" s="1935"/>
      <c r="E67" s="1935"/>
      <c r="F67" s="1936"/>
      <c r="G67" s="1915" t="s">
        <v>1919</v>
      </c>
      <c r="H67" s="1915"/>
      <c r="I67" s="1915"/>
      <c r="J67" s="1916"/>
    </row>
    <row r="68" spans="2:18" ht="42" customHeight="1" x14ac:dyDescent="0.3">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14" t="s">
        <v>1901</v>
      </c>
      <c r="Q73" s="1914"/>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14" t="s">
        <v>1909</v>
      </c>
      <c r="Q88" s="1914"/>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3">
      <c r="C2" s="818" t="s">
        <v>2306</v>
      </c>
      <c r="D2" s="698"/>
      <c r="E2" s="698"/>
      <c r="F2" s="699"/>
      <c r="G2" s="700"/>
      <c r="H2" s="700"/>
      <c r="I2" s="700"/>
      <c r="J2" s="700"/>
      <c r="L2" s="1704"/>
      <c r="M2" s="1704"/>
      <c r="N2" s="1704"/>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02" t="s">
        <v>3262</v>
      </c>
      <c r="D5" s="2002"/>
      <c r="E5" s="2002"/>
      <c r="F5" s="2002"/>
      <c r="G5" s="1470"/>
      <c r="H5" s="1470"/>
      <c r="I5" s="1470"/>
      <c r="J5" s="1470"/>
      <c r="L5" s="805"/>
      <c r="M5" s="805"/>
      <c r="N5" s="805"/>
      <c r="O5" s="1471"/>
      <c r="P5" s="1471"/>
      <c r="Q5" s="1471"/>
      <c r="R5" s="1471"/>
      <c r="W5" s="1072"/>
      <c r="X5" s="1073"/>
      <c r="Y5" s="1073"/>
    </row>
    <row r="6" spans="1:25" s="812" customFormat="1" ht="20" customHeight="1" x14ac:dyDescent="0.35">
      <c r="C6" s="1999" t="s">
        <v>3263</v>
      </c>
      <c r="D6" s="1999"/>
      <c r="E6" s="1999"/>
      <c r="F6" s="1999"/>
      <c r="G6" s="815"/>
      <c r="H6" s="815"/>
      <c r="I6" s="815"/>
      <c r="J6" s="815"/>
      <c r="L6" s="805"/>
      <c r="M6" s="805"/>
      <c r="N6" s="805"/>
      <c r="O6" s="816"/>
      <c r="P6" s="816"/>
      <c r="Q6" s="816"/>
      <c r="R6" s="816"/>
      <c r="W6" s="1072"/>
      <c r="X6" s="1073"/>
      <c r="Y6" s="1073"/>
    </row>
    <row r="7" spans="1:25" s="812" customFormat="1" ht="20" customHeight="1" x14ac:dyDescent="0.35">
      <c r="C7" s="2000" t="s">
        <v>2274</v>
      </c>
      <c r="D7" s="2000"/>
      <c r="E7" s="2000"/>
      <c r="F7" s="2000"/>
      <c r="G7" s="815"/>
      <c r="H7" s="815"/>
      <c r="I7" s="815"/>
      <c r="J7" s="815"/>
      <c r="L7" s="805"/>
      <c r="M7" s="805"/>
      <c r="N7" s="805"/>
      <c r="O7" s="816"/>
      <c r="P7" s="816"/>
      <c r="Q7" s="816"/>
      <c r="R7" s="816"/>
      <c r="W7" s="1072"/>
      <c r="X7" s="1073"/>
      <c r="Y7" s="1073"/>
    </row>
    <row r="8" spans="1:25" s="812" customFormat="1" ht="29.5" customHeight="1" x14ac:dyDescent="0.35">
      <c r="C8" s="2000" t="s">
        <v>2275</v>
      </c>
      <c r="D8" s="2000"/>
      <c r="E8" s="2000"/>
      <c r="F8" s="2000"/>
      <c r="G8" s="815"/>
      <c r="H8" s="815"/>
      <c r="I8" s="815"/>
      <c r="J8" s="815"/>
      <c r="L8" s="805"/>
      <c r="M8" s="805"/>
      <c r="N8" s="805"/>
      <c r="O8" s="816"/>
      <c r="P8" s="816"/>
      <c r="Q8" s="816"/>
      <c r="R8" s="816"/>
      <c r="W8" s="1072"/>
      <c r="X8" s="1073"/>
      <c r="Y8" s="1073"/>
    </row>
    <row r="9" spans="1:25" s="812" customFormat="1" ht="29.5" customHeight="1" x14ac:dyDescent="0.35">
      <c r="C9" s="2000" t="s">
        <v>3264</v>
      </c>
      <c r="D9" s="2000"/>
      <c r="E9" s="2000"/>
      <c r="F9" s="2000"/>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04"/>
      <c r="N12" s="2004"/>
      <c r="O12" s="660"/>
      <c r="P12" s="660"/>
      <c r="Q12" s="660"/>
      <c r="R12" s="660"/>
      <c r="W12" s="1074"/>
      <c r="X12" s="1075"/>
      <c r="Y12" s="1075"/>
    </row>
    <row r="13" spans="1:25" ht="17.5" x14ac:dyDescent="0.3">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3">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3">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3">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 customHeight="1" x14ac:dyDescent="0.3">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 customHeight="1" x14ac:dyDescent="0.3">
      <c r="C19" s="962" t="s">
        <v>22</v>
      </c>
      <c r="D19" s="991" t="str">
        <f>'1. Project Inputs'!C23</f>
        <v>RaisinAnalytics</v>
      </c>
      <c r="E19" s="519"/>
      <c r="F19" s="2024"/>
      <c r="G19" s="411"/>
      <c r="H19" s="411"/>
      <c r="I19" s="411"/>
      <c r="J19" s="411"/>
      <c r="K19" s="671"/>
      <c r="L19" s="671"/>
      <c r="M19" s="641"/>
      <c r="N19" s="647"/>
      <c r="O19" s="673"/>
      <c r="P19" s="673"/>
      <c r="Q19" s="673"/>
      <c r="R19" s="673"/>
      <c r="S19" s="413"/>
      <c r="T19" s="413"/>
      <c r="U19" s="2009"/>
      <c r="V19" s="411"/>
      <c r="W19" s="399"/>
    </row>
    <row r="20" spans="3:23" ht="16" customHeight="1" x14ac:dyDescent="0.3">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 customHeight="1" x14ac:dyDescent="0.3">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 customHeight="1" x14ac:dyDescent="0.3">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 customHeight="1" x14ac:dyDescent="0.3">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3">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3">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 customHeight="1" x14ac:dyDescent="0.3">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3">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24"/>
      <c r="G28" s="411"/>
      <c r="H28" s="430"/>
      <c r="I28" s="430"/>
      <c r="J28" s="430"/>
      <c r="K28" s="682"/>
      <c r="L28" s="682"/>
      <c r="U28" s="674"/>
      <c r="V28" s="411"/>
      <c r="W28" s="399"/>
    </row>
    <row r="29" spans="3:23" ht="7" customHeight="1" x14ac:dyDescent="0.3">
      <c r="C29" s="683"/>
      <c r="D29" s="684"/>
      <c r="E29" s="681"/>
      <c r="F29" s="2024"/>
      <c r="G29" s="411"/>
      <c r="H29" s="430"/>
      <c r="I29" s="430"/>
      <c r="J29" s="430"/>
      <c r="K29" s="682"/>
      <c r="L29" s="682"/>
      <c r="U29" s="674"/>
      <c r="V29" s="411"/>
      <c r="W29" s="399"/>
    </row>
    <row r="30" spans="3:23" ht="15" x14ac:dyDescent="0.3">
      <c r="C30" s="1026" t="s">
        <v>2202</v>
      </c>
      <c r="E30" s="681"/>
      <c r="F30" s="2024"/>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3">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 customHeight="1" thickBot="1" x14ac:dyDescent="0.35">
      <c r="B61" s="109"/>
      <c r="C61" s="691"/>
      <c r="D61" s="692"/>
      <c r="E61" s="693"/>
      <c r="F61" s="694"/>
      <c r="G61" s="692"/>
      <c r="H61" s="692"/>
      <c r="I61" s="692"/>
      <c r="J61" s="692"/>
      <c r="K61" s="692"/>
      <c r="L61" s="2027"/>
      <c r="M61" s="2020"/>
      <c r="N61" s="2020"/>
      <c r="O61" s="2020"/>
      <c r="P61" s="695"/>
      <c r="Q61" s="695"/>
      <c r="R61" s="695"/>
      <c r="S61" s="696"/>
      <c r="T61" s="2021"/>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06" t="s">
        <v>79</v>
      </c>
      <c r="D128" s="2007"/>
      <c r="E128" s="2008"/>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5" t="s">
        <v>2303</v>
      </c>
      <c r="C7" s="2035"/>
      <c r="D7" s="2035"/>
      <c r="E7" s="2035"/>
      <c r="F7" s="2035"/>
      <c r="G7" s="2035"/>
      <c r="H7" s="2035"/>
      <c r="I7" s="2035"/>
      <c r="J7" s="2035"/>
      <c r="K7" s="395"/>
      <c r="L7" s="395"/>
      <c r="N7" s="395"/>
      <c r="O7" s="395"/>
      <c r="P7" s="395"/>
      <c r="Q7" s="395"/>
      <c r="R7" s="395"/>
    </row>
    <row r="8" spans="2:18" ht="14.25" customHeight="1" x14ac:dyDescent="0.3">
      <c r="B8" s="2036" t="s">
        <v>3268</v>
      </c>
      <c r="C8" s="2036"/>
      <c r="D8" s="2036"/>
      <c r="E8" s="2036"/>
      <c r="F8" s="2036"/>
      <c r="G8" s="2036"/>
      <c r="H8" s="2036"/>
      <c r="I8" s="2036"/>
      <c r="J8" s="2036"/>
      <c r="K8" s="395"/>
      <c r="L8" s="395"/>
      <c r="N8" s="395"/>
      <c r="O8" s="395"/>
      <c r="P8" s="395"/>
      <c r="Q8" s="395"/>
      <c r="R8" s="395"/>
    </row>
    <row r="9" spans="2:18" x14ac:dyDescent="0.3">
      <c r="B9" s="1687" t="s">
        <v>3269</v>
      </c>
      <c r="C9" s="1687"/>
      <c r="D9" s="1687"/>
      <c r="E9" s="1687"/>
      <c r="F9" s="1687"/>
      <c r="G9" s="1687"/>
      <c r="H9" s="1687"/>
      <c r="I9" s="1687"/>
      <c r="J9" s="1687"/>
      <c r="K9" s="395"/>
      <c r="L9" s="395"/>
      <c r="N9" s="395"/>
      <c r="O9" s="395"/>
      <c r="P9" s="395"/>
      <c r="Q9" s="395"/>
      <c r="R9" s="395"/>
    </row>
    <row r="10" spans="2:18" x14ac:dyDescent="0.3">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729"/>
      <c r="J62" s="1729"/>
      <c r="K62" s="1729"/>
      <c r="L62" s="1729"/>
      <c r="M62" s="1484"/>
      <c r="N62" s="395"/>
      <c r="O62" s="395"/>
      <c r="P62" s="395"/>
      <c r="Q62" s="395"/>
      <c r="R62" s="395"/>
    </row>
    <row r="63" spans="2:43" x14ac:dyDescent="0.3">
      <c r="B63" s="413"/>
      <c r="C63" s="395"/>
      <c r="D63" s="395"/>
      <c r="E63" s="395"/>
      <c r="F63" s="395"/>
      <c r="G63" s="1475"/>
      <c r="H63" s="395"/>
      <c r="I63" s="1729"/>
      <c r="J63" s="1729"/>
      <c r="K63" s="1729"/>
      <c r="L63" s="1729"/>
      <c r="M63" s="1484"/>
      <c r="N63" s="395"/>
      <c r="O63" s="395"/>
      <c r="P63" s="395"/>
      <c r="Q63" s="395"/>
      <c r="R63" s="395"/>
    </row>
    <row r="64" spans="2:43" x14ac:dyDescent="0.3">
      <c r="B64" s="413"/>
      <c r="C64" s="395"/>
      <c r="D64" s="395"/>
      <c r="E64" s="395"/>
      <c r="F64" s="395"/>
      <c r="G64" s="1475"/>
      <c r="H64" s="395"/>
      <c r="I64" s="1729"/>
      <c r="J64" s="1729"/>
      <c r="K64" s="1729"/>
      <c r="L64" s="1729"/>
      <c r="M64" s="1484"/>
      <c r="N64" s="395"/>
      <c r="O64" s="395"/>
      <c r="P64" s="395"/>
      <c r="Q64" s="395"/>
      <c r="R64" s="395"/>
    </row>
    <row r="65" spans="2:18" x14ac:dyDescent="0.3">
      <c r="B65" s="413"/>
      <c r="C65" s="395"/>
      <c r="D65" s="395"/>
      <c r="E65" s="395"/>
      <c r="F65" s="395"/>
      <c r="G65" s="1475"/>
      <c r="H65" s="395"/>
      <c r="I65" s="1729"/>
      <c r="J65" s="1729"/>
      <c r="K65" s="1729"/>
      <c r="L65" s="1729"/>
      <c r="M65" s="1484"/>
      <c r="N65" s="395"/>
      <c r="O65" s="395"/>
      <c r="P65" s="395"/>
      <c r="Q65" s="395"/>
      <c r="R65" s="395"/>
    </row>
    <row r="66" spans="2:18" x14ac:dyDescent="0.3">
      <c r="B66" s="413"/>
      <c r="C66" s="395"/>
      <c r="D66" s="395"/>
      <c r="E66" s="395"/>
      <c r="F66" s="395"/>
      <c r="G66" s="1475"/>
      <c r="H66" s="395"/>
      <c r="I66" s="1729"/>
      <c r="J66" s="1729"/>
      <c r="K66" s="1729"/>
      <c r="L66" s="1729"/>
      <c r="M66" s="1484"/>
      <c r="N66" s="395"/>
      <c r="O66" s="395"/>
      <c r="P66" s="395"/>
      <c r="Q66" s="395"/>
      <c r="R66" s="395"/>
    </row>
    <row r="67" spans="2:18" x14ac:dyDescent="0.3">
      <c r="B67" s="413"/>
      <c r="C67" s="395"/>
      <c r="D67" s="395"/>
      <c r="E67" s="395"/>
      <c r="F67" s="395"/>
      <c r="G67" s="1475"/>
      <c r="H67" s="395"/>
      <c r="I67" s="1729"/>
      <c r="J67" s="1729"/>
      <c r="K67" s="1729"/>
      <c r="L67" s="1729"/>
      <c r="M67" s="1484"/>
      <c r="N67" s="395"/>
      <c r="O67" s="395"/>
      <c r="P67" s="395"/>
      <c r="Q67" s="395"/>
      <c r="R67" s="395"/>
    </row>
    <row r="68" spans="2:18" x14ac:dyDescent="0.3">
      <c r="B68" s="413"/>
      <c r="C68" s="395"/>
      <c r="D68" s="395"/>
      <c r="E68" s="395"/>
      <c r="F68" s="395"/>
      <c r="G68" s="1475"/>
      <c r="H68" s="395"/>
      <c r="I68" s="1729"/>
      <c r="J68" s="1729"/>
      <c r="K68" s="1729"/>
      <c r="L68" s="1729"/>
      <c r="M68" s="1484"/>
      <c r="N68" s="395"/>
      <c r="O68" s="395"/>
      <c r="P68" s="395"/>
      <c r="Q68" s="395"/>
      <c r="R68" s="395"/>
    </row>
    <row r="69" spans="2:18" x14ac:dyDescent="0.3">
      <c r="B69" s="413"/>
      <c r="C69" s="395"/>
      <c r="D69" s="395"/>
      <c r="E69" s="395"/>
      <c r="F69" s="395"/>
      <c r="G69" s="1475"/>
      <c r="H69" s="395"/>
      <c r="I69" s="1729"/>
      <c r="J69" s="1729"/>
      <c r="K69" s="1729"/>
      <c r="L69" s="1729"/>
      <c r="M69" s="1484"/>
      <c r="N69" s="395"/>
      <c r="O69" s="395"/>
      <c r="P69" s="395"/>
      <c r="Q69" s="395"/>
      <c r="R69" s="395"/>
    </row>
    <row r="70" spans="2:18" x14ac:dyDescent="0.3">
      <c r="B70" s="413"/>
      <c r="C70" s="395"/>
      <c r="D70" s="395"/>
      <c r="E70" s="395"/>
      <c r="F70" s="395"/>
      <c r="G70" s="1475"/>
      <c r="H70" s="395"/>
      <c r="I70" s="1729"/>
      <c r="J70" s="1729"/>
      <c r="K70" s="1729"/>
      <c r="L70" s="1729"/>
      <c r="M70" s="1484"/>
      <c r="N70" s="395"/>
      <c r="O70" s="395"/>
      <c r="P70" s="395"/>
      <c r="Q70" s="395"/>
      <c r="R70" s="395"/>
    </row>
    <row r="71" spans="2:18" x14ac:dyDescent="0.3">
      <c r="B71" s="413"/>
      <c r="C71" s="395"/>
      <c r="D71" s="492"/>
      <c r="E71" s="600"/>
      <c r="F71" s="600"/>
      <c r="G71" s="1499"/>
      <c r="H71" s="395"/>
      <c r="I71" s="1729"/>
      <c r="J71" s="1729"/>
      <c r="K71" s="1729"/>
      <c r="L71" s="1729"/>
      <c r="M71" s="1484"/>
      <c r="N71" s="395"/>
      <c r="O71" s="395"/>
      <c r="P71" s="395"/>
      <c r="Q71" s="395"/>
      <c r="R71" s="395"/>
    </row>
    <row r="72" spans="2:18" x14ac:dyDescent="0.3">
      <c r="B72" s="413"/>
      <c r="C72" s="1496"/>
      <c r="D72" s="495"/>
      <c r="E72" s="820"/>
      <c r="F72" s="820"/>
      <c r="G72" s="1497"/>
      <c r="H72" s="395"/>
      <c r="I72" s="1729"/>
      <c r="J72" s="1729"/>
      <c r="K72" s="1729"/>
      <c r="L72" s="1729"/>
      <c r="M72" s="1484"/>
      <c r="N72" s="395"/>
      <c r="O72" s="395"/>
      <c r="P72" s="395"/>
      <c r="Q72" s="395"/>
      <c r="R72" s="395"/>
    </row>
    <row r="73" spans="2:18" x14ac:dyDescent="0.3">
      <c r="B73" s="413"/>
      <c r="C73" s="1496"/>
      <c r="D73" s="495"/>
      <c r="E73" s="820"/>
      <c r="F73" s="820"/>
      <c r="G73" s="1497"/>
      <c r="H73" s="395"/>
      <c r="I73" s="1729"/>
      <c r="J73" s="1729"/>
      <c r="K73" s="1729"/>
      <c r="L73" s="1729"/>
      <c r="M73" s="1484"/>
      <c r="N73" s="395"/>
      <c r="O73" s="395"/>
      <c r="P73" s="395"/>
      <c r="Q73" s="395"/>
      <c r="R73" s="395"/>
    </row>
    <row r="74" spans="2:18" x14ac:dyDescent="0.3">
      <c r="B74" s="413"/>
      <c r="C74" s="1496"/>
      <c r="D74" s="495"/>
      <c r="E74" s="820"/>
      <c r="F74" s="820"/>
      <c r="G74" s="1497"/>
      <c r="H74" s="395"/>
      <c r="I74" s="1729"/>
      <c r="J74" s="1729"/>
      <c r="K74" s="1729"/>
      <c r="L74" s="1729"/>
      <c r="M74" s="1484"/>
      <c r="N74" s="395"/>
      <c r="O74" s="395"/>
      <c r="P74" s="395"/>
      <c r="Q74" s="395"/>
      <c r="R74" s="395"/>
    </row>
    <row r="75" spans="2:18" x14ac:dyDescent="0.3">
      <c r="B75" s="413"/>
      <c r="C75" s="1496"/>
      <c r="D75" s="495"/>
      <c r="E75" s="820"/>
      <c r="F75" s="820"/>
      <c r="G75" s="1497"/>
      <c r="H75" s="395"/>
      <c r="I75" s="1729"/>
      <c r="J75" s="1729"/>
      <c r="K75" s="1729"/>
      <c r="L75" s="1729"/>
      <c r="M75" s="1484"/>
      <c r="N75" s="395"/>
      <c r="O75" s="395"/>
      <c r="P75" s="395"/>
      <c r="Q75" s="395"/>
      <c r="R75" s="395"/>
    </row>
    <row r="76" spans="2:18" x14ac:dyDescent="0.3">
      <c r="B76" s="413"/>
      <c r="C76" s="1496"/>
      <c r="D76" s="495"/>
      <c r="E76" s="820"/>
      <c r="F76" s="820"/>
      <c r="G76" s="1497"/>
      <c r="H76" s="395"/>
      <c r="I76" s="1729"/>
      <c r="J76" s="1729"/>
      <c r="K76" s="1729"/>
      <c r="L76" s="1729"/>
      <c r="M76" s="1484"/>
      <c r="N76" s="395"/>
      <c r="O76" s="395"/>
      <c r="P76" s="395"/>
      <c r="Q76" s="395"/>
      <c r="R76" s="395"/>
    </row>
    <row r="77" spans="2:18" x14ac:dyDescent="0.3">
      <c r="B77" s="413"/>
      <c r="C77" s="1496"/>
      <c r="D77" s="495"/>
      <c r="E77" s="820"/>
      <c r="F77" s="820"/>
      <c r="G77" s="1497"/>
      <c r="H77" s="395"/>
      <c r="I77" s="1729"/>
      <c r="J77" s="1729"/>
      <c r="K77" s="1729"/>
      <c r="L77" s="1729"/>
      <c r="M77" s="1484"/>
      <c r="N77" s="395"/>
      <c r="O77" s="395"/>
      <c r="P77" s="395"/>
      <c r="Q77" s="395"/>
      <c r="R77" s="395"/>
    </row>
    <row r="78" spans="2:18" x14ac:dyDescent="0.3">
      <c r="B78" s="413"/>
      <c r="C78" s="1496"/>
      <c r="D78" s="495"/>
      <c r="E78" s="820"/>
      <c r="F78" s="820"/>
      <c r="G78" s="1497"/>
      <c r="H78" s="395"/>
      <c r="I78" s="1729"/>
      <c r="J78" s="1729"/>
      <c r="K78" s="1729"/>
      <c r="L78" s="1729"/>
      <c r="M78" s="1484"/>
      <c r="N78" s="395"/>
      <c r="O78" s="395"/>
      <c r="P78" s="395"/>
      <c r="Q78" s="395"/>
      <c r="R78" s="395"/>
    </row>
    <row r="79" spans="2:18" x14ac:dyDescent="0.3">
      <c r="B79" s="413"/>
      <c r="C79" s="1496"/>
      <c r="D79" s="495"/>
      <c r="E79" s="820"/>
      <c r="F79" s="820"/>
      <c r="G79" s="1497"/>
      <c r="H79" s="395"/>
      <c r="I79" s="1729"/>
      <c r="J79" s="1729"/>
      <c r="K79" s="1729"/>
      <c r="L79" s="1729"/>
      <c r="M79" s="1484"/>
      <c r="N79" s="395"/>
      <c r="O79" s="395"/>
      <c r="P79" s="395"/>
      <c r="Q79" s="395"/>
      <c r="R79" s="395"/>
    </row>
    <row r="80" spans="2:18" x14ac:dyDescent="0.3">
      <c r="B80" s="413"/>
      <c r="C80" s="1496"/>
      <c r="D80" s="495"/>
      <c r="E80" s="820"/>
      <c r="F80" s="820"/>
      <c r="G80" s="1497"/>
      <c r="H80" s="395"/>
      <c r="I80" s="1729"/>
      <c r="J80" s="1729"/>
      <c r="K80" s="1729"/>
      <c r="L80" s="1729"/>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696" t="s">
        <v>3287</v>
      </c>
      <c r="C10" s="1696"/>
      <c r="D10" s="1696"/>
      <c r="E10" s="1696"/>
      <c r="F10" s="1696"/>
      <c r="G10" s="1696"/>
    </row>
    <row r="11" spans="2:9" x14ac:dyDescent="0.3">
      <c r="B11" s="720" t="s">
        <v>183</v>
      </c>
      <c r="C11" s="720" t="s">
        <v>184</v>
      </c>
      <c r="D11" s="720" t="s">
        <v>185</v>
      </c>
      <c r="E11" s="720" t="s">
        <v>186</v>
      </c>
      <c r="G11" s="556"/>
    </row>
    <row r="12" spans="2:9" x14ac:dyDescent="0.3">
      <c r="B12" s="1103" t="s">
        <v>187</v>
      </c>
      <c r="C12" s="1104">
        <f>'2. Roles &amp; Pricing'!AD28</f>
        <v>444600</v>
      </c>
      <c r="D12" s="1104">
        <f>'2. Roles &amp; Pricing'!AE28</f>
        <v>159000</v>
      </c>
      <c r="E12" s="1105">
        <f>'2. Roles &amp; Pricing'!AF28</f>
        <v>282600</v>
      </c>
    </row>
    <row r="13" spans="2:9" x14ac:dyDescent="0.3">
      <c r="B13" s="1106" t="s">
        <v>1675</v>
      </c>
      <c r="C13" s="1095">
        <f>'2. Roles &amp; Pricing'!AD29</f>
        <v>196200</v>
      </c>
      <c r="D13" s="1095">
        <f>'2. Roles &amp; Pricing'!AE29</f>
        <v>69000</v>
      </c>
      <c r="E13" s="1107">
        <f>'2. Roles &amp; Pricing'!AF29</f>
        <v>126600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466830</v>
      </c>
      <c r="D16" s="1114">
        <f>IFERROR(IF(D14="Manual Entry",(D12+(D12*D15)),(D12+D14+(D12*D15))),"")</f>
        <v>166950</v>
      </c>
      <c r="E16" s="1115">
        <f>IFERROR(IF(E14="Manual Entry",(E12+(E12*E15)),(E12+E14+(E12*E15))),"")</f>
        <v>296730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38.02325581395349</v>
      </c>
      <c r="D23" s="1099">
        <f>'2. Roles &amp; Pricing'!AE30</f>
        <v>38.333333333333336</v>
      </c>
      <c r="E23" s="1118">
        <f>'2. Roles &amp; Pricing'!AF30</f>
        <v>45.869565217391305</v>
      </c>
    </row>
    <row r="24" spans="2:8" x14ac:dyDescent="0.3">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5"/>
      <c r="B1" s="2055"/>
      <c r="C1" s="2055"/>
      <c r="D1" s="134"/>
      <c r="E1" s="134"/>
      <c r="F1" s="134"/>
      <c r="G1" s="134"/>
    </row>
    <row r="2" spans="1:9" ht="14.25" customHeight="1" x14ac:dyDescent="0.3">
      <c r="A2" s="2055"/>
      <c r="B2" s="2055"/>
      <c r="C2" s="205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9"/>
      <c r="D10" s="2059"/>
      <c r="E10" s="2054"/>
      <c r="F10" s="103"/>
      <c r="H10" s="2056"/>
      <c r="I10" s="205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7" t="s">
        <v>1282</v>
      </c>
      <c r="C39" s="2058"/>
      <c r="D39" s="2058"/>
      <c r="E39" s="205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0" t="s">
        <v>1290</v>
      </c>
      <c r="C64" s="2051"/>
      <c r="D64" s="205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2025-09-10T13:01:47Z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