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97C0B0F8-08D4-415C-869C-90D1A2B65F62}"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8" l="1"/>
  <c r="H23" i="28"/>
  <c r="H24" i="28"/>
  <c r="H25" i="28"/>
  <c r="H26" i="28"/>
  <c r="H27" i="28"/>
  <c r="H28" i="28"/>
  <c r="H29" i="28"/>
  <c r="H30" i="28"/>
  <c r="H31" i="28"/>
  <c r="H32" i="28"/>
  <c r="H33" i="28"/>
  <c r="H17" i="28"/>
  <c r="H18" i="28"/>
  <c r="H19" i="28"/>
  <c r="H20" i="28"/>
  <c r="H21" i="28"/>
  <c r="H16" i="28"/>
  <c r="H3" i="28"/>
  <c r="H5" i="28"/>
  <c r="BT36" i="28" s="1"/>
  <c r="BQ17" i="28"/>
  <c r="BQ18" i="28"/>
  <c r="BQ19" i="28"/>
  <c r="BQ20" i="28"/>
  <c r="BQ21" i="28"/>
  <c r="BQ24" i="28"/>
  <c r="BQ25" i="28"/>
  <c r="BQ26" i="28"/>
  <c r="BQ27" i="28"/>
  <c r="BQ28" i="28"/>
  <c r="BQ29" i="28"/>
  <c r="BQ30" i="28"/>
  <c r="BQ31" i="28"/>
  <c r="BQ32" i="28"/>
  <c r="BQ33" i="28"/>
  <c r="BQ34" i="28"/>
  <c r="BQ16" i="28"/>
  <c r="BS17" i="28"/>
  <c r="BS18" i="28"/>
  <c r="BS19" i="28"/>
  <c r="BS20" i="28"/>
  <c r="BS21"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<sst xmlns="http://schemas.openxmlformats.org/spreadsheetml/2006/main" count="22831" uniqueCount="3694">
  <si>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</si>
  <si>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</si>
  <si>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</si>
  <si>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</si>
  <si>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</si>
  <si>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</si>
  <si>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</si>
  <si>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</si>
  <si>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</si>
  <si>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</si>
  <si>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</si>
  <si>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</si>
  <si>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</si>
  <si>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</si>
  <si>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</si>
  <si>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</si>
  <si>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</si>
  <si>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</si>
  <si>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</si>
  <si>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</si>
  <si>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</si>
  <si>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</si>
  <si>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</si>
  <si>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</si>
  <si>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</si>
  <si>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</si>
  <si>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</si>
  <si>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</si>
  <si>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</si>
  <si>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</si>
  <si>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</si>
  <si>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</si>
  <si>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</si>
  <si>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</si>
  <si>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</si>
  <si>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</si>
  <si>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</si>
  <si>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</si>
  <si>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</si>
  <si>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</si>
  <si>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</si>
  <si>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</si>
  <si>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</si>
  <si>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</si>
  <si>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</si>
  <si>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</si>
  <si>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</si>
  <si>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</si>
  <si>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</si>
  <si>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</si>
  <si>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</si>
  <si>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</si>
  <si>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</si>
  <si>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</si>
  <si>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</si>
  <si>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</si>
  <si>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</si>
  <si>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</si>
  <si>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</si>
  <si>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</si>
  <si>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</si>
  <si>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</si>
  <si>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</si>
  <si>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</si>
  <si>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</si>
  <si>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</si>
  <si>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</si>
  <si>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</si>
  <si>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</si>
  <si>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</si>
  <si>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</si>
  <si>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</si>
  <si>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</si>
  <si>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</si>
  <si>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</si>
  <si>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</si>
  <si>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</si>
  <si>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</si>
  <si>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</si>
  <si>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</si>
  <si>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</si>
  <si>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</si>
  <si>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</si>
  <si>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</si>
  <si>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</si>
  <si>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</si>
  <si>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</si>
  <si>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</si>
  <si>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</si>
  <si>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</si>
  <si>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</si>
  <si>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</si>
  <si>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</si>
  <si>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</si>
  <si>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</si>
  <si>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</si>
  <si>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</si>
  <si>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</si>
  <si>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</si>
  <si>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</si>
  <si>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</si>
  <si>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</si>
  <si>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</si>
  <si>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</si>
  <si>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</si>
  <si>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</si>
  <si>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</si>
  <si>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</si>
  <si>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</si>
  <si>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</si>
  <si>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</si>
  <si>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</si>
  <si>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</si>
  <si>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</si>
  <si>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</si>
  <si>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</si>
  <si>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</si>
  <si>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</si>
  <si>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</si>
  <si>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</si>
  <si>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</si>
  <si>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</si>
  <si>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</si>
  <si>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</si>
  <si>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</si>
  <si>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</si>
  <si>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</si>
  <si>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</si>
  <si>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</si>
  <si>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</si>
  <si>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</si>
  <si>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</si>
  <si>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</si>
  <si>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</si>
  <si>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</si>
  <si>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</si>
  <si>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</si>
  <si>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</si>
  <si>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</si>
  <si>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</si>
  <si>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</si>
  <si>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</si>
  <si>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</si>
  <si>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</si>
  <si>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</si>
  <si>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</si>
  <si>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</si>
  <si>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</si>
  <si>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</si>
  <si>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</si>
  <si>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</si>
  <si>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</si>
  <si>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</si>
  <si>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</si>
  <si>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</si>
  <si>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</si>
  <si>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</si>
  <si>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</si>
  <si>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</si>
  <si>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</si>
  <si>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</si>
  <si>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</si>
  <si>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</si>
  <si>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</si>
  <si>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</si>
  <si>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</si>
  <si>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</si>
  <si>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</si>
  <si>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</si>
  <si>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</si>
  <si>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</si>
  <si>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</si>
  <si>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</si>
  <si>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</si>
  <si>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</si>
  <si>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</si>
  <si>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</si>
  <si>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</si>
  <si>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</si>
  <si>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</si>
  <si>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</si>
  <si>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</si>
  <si>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</si>
  <si>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</si>
  <si>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</si>
  <si>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</si>
  <si>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</si>
  <si>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</si>
  <si>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</si>
  <si>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</si>
  <si>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</si>
  <si>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</si>
  <si>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</si>
  <si>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</si>
  <si>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</si>
  <si>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</si>
  <si>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</si>
  <si>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</si>
  <si>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</si>
  <si>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</si>
  <si>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</si>
  <si>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</si>
  <si>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</si>
  <si>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</si>
  <si>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</si>
  <si>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</si>
  <si>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</si>
  <si>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</si>
  <si>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</si>
  <si>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</si>
  <si>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</si>
  <si>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</si>
  <si>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</si>
  <si>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</si>
  <si>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</si>
  <si>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</si>
  <si>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</si>
  <si>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</si>
  <si>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</si>
  <si>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</si>
  <si>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</si>
  <si>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</si>
  <si>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</si>
  <si>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</si>
  <si>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</si>
  <si>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</si>
  <si>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</si>
  <si>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</si>
  <si>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</si>
  <si>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</si>
  <si>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</si>
  <si>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</si>
  <si>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</si>
  <si>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</si>
  <si>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</si>
  <si>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</si>
  <si>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</si>
  <si>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</si>
  <si>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</si>
  <si>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</si>
  <si>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</si>
  <si>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</si>
  <si>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</si>
  <si>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</si>
  <si>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</si>
  <si>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</si>
  <si>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</si>
  <si>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</si>
  <si>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</si>
  <si>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</si>
  <si>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</si>
  <si>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</si>
  <si>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</si>
  <si>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</si>
  <si>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</si>
  <si>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</si>
  <si>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</si>
  <si>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</si>
  <si>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</si>
  <si>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</si>
  <si>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</si>
  <si>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</si>
  <si>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</si>
  <si>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</si>
  <si>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</si>
  <si>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</si>
  <si>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</si>
  <si>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</si>
  <si>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</si>
  <si>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</si>
  <si>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</si>
  <si>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</si>
  <si>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</si>
  <si>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</si>
  <si>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</si>
  <si>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</si>
  <si>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</si>
  <si>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</si>
  <si>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</si>
  <si>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</si>
  <si>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</si>
  <si>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</si>
  <si>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</si>
  <si>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</si>
  <si>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</si>
  <si>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</si>
  <si>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</si>
  <si>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</si>
  <si>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</si>
  <si>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</si>
  <si>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</si>
  <si>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</si>
  <si>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</si>
  <si>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</si>
  <si>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</si>
  <si>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</si>
  <si>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</si>
  <si>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</si>
  <si>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</si>
  <si>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</si>
  <si>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</si>
  <si>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</si>
  <si>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</si>
  <si>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</si>
  <si>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</si>
  <si>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</si>
  <si>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</si>
  <si>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</si>
  <si>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</si>
  <si>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</si>
  <si>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</si>
  <si>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</si>
  <si>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</si>
  <si>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</si>
  <si>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</si>
  <si>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</si>
  <si>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</si>
  <si>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</si>
  <si>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</si>
  <si>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</si>
  <si>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</si>
  <si>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</si>
  <si>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</si>
  <si>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</si>
  <si>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</si>
  <si>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</si>
  <si>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</si>
  <si>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</si>
  <si>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</si>
  <si>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</si>
  <si>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</si>
  <si>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</si>
  <si>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</si>
  <si>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</si>
  <si>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</si>
  <si>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</si>
  <si>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</si>
  <si>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</si>
  <si>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</si>
  <si>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</si>
  <si>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</si>
  <si>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</si>
  <si>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</si>
  <si>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</si>
  <si>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</si>
  <si>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</si>
  <si>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</si>
  <si>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</si>
  <si>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</si>
  <si>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</si>
  <si>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</si>
  <si>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</si>
  <si>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</si>
  <si>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</si>
  <si>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</si>
  <si>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</si>
  <si>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</si>
  <si>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</si>
  <si>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</si>
  <si>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</si>
  <si>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</si>
  <si>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</si>
  <si>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</si>
  <si>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</si>
  <si>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</si>
  <si>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</si>
  <si>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</si>
  <si>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</si>
  <si>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</si>
  <si>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</si>
  <si>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</si>
  <si>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</si>
  <si>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</si>
  <si>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</si>
  <si>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</si>
  <si>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</si>
  <si>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</si>
  <si>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</si>
  <si>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</si>
  <si>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</si>
  <si>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</si>
  <si>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</si>
  <si>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</si>
  <si>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</si>
  <si>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</si>
  <si>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</si>
  <si>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</si>
  <si>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</si>
  <si>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</si>
  <si>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</si>
  <si>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</si>
  <si>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</si>
  <si>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</si>
  <si>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</si>
  <si>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</si>
  <si>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</si>
  <si>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</si>
  <si>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</si>
  <si>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</si>
  <si>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</si>
  <si>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</si>
  <si>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</si>
  <si>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</si>
  <si>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</si>
  <si>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</si>
  <si>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</si>
  <si>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</si>
  <si>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</si>
  <si>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</si>
  <si>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</si>
  <si>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</si>
  <si>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</si>
  <si>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</si>
  <si>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</si>
  <si>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</si>
  <si>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</si>
  <si>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</si>
  <si>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</si>
  <si>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</si>
  <si>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</si>
  <si>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</si>
  <si>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</si>
  <si>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</si>
  <si>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</si>
  <si>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</si>
  <si>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</si>
  <si>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</si>
  <si>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</si>
  <si>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</si>
  <si>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</si>
  <si>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</si>
  <si>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</si>
  <si>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</si>
  <si>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</si>
  <si>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</si>
  <si>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</si>
  <si>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</si>
  <si>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</si>
  <si>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</si>
  <si>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</si>
  <si>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</si>
  <si>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</si>
  <si>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</si>
  <si>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</si>
  <si>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</si>
  <si>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</si>
  <si>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</si>
  <si>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</si>
  <si>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</si>
  <si>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</si>
  <si>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</si>
  <si>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</si>
  <si>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</si>
  <si>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</si>
  <si>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</si>
  <si>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</si>
  <si>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</si>
  <si>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</si>
  <si>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</si>
  <si>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</si>
  <si>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</si>
  <si>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</si>
  <si>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</si>
  <si>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</si>
  <si>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</si>
  <si>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</si>
  <si>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</si>
  <si>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</si>
  <si>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</si>
  <si>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</si>
  <si>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</si>
  <si>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</si>
  <si>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</si>
  <si>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</si>
  <si>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</si>
  <si>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</si>
  <si>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</si>
  <si>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</si>
  <si>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</si>
  <si>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</si>
  <si>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</si>
  <si>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</si>
  <si>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</si>
  <si>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</si>
  <si>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</si>
  <si>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</si>
  <si>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</si>
  <si>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</si>
  <si>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</si>
  <si>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</si>
  <si>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</si>
  <si>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</si>
  <si>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</si>
  <si>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</si>
  <si>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</si>
  <si>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</si>
  <si>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</si>
  <si>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</si>
  <si>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</si>
  <si>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</si>
  <si>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</si>
  <si>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</si>
  <si>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</si>
  <si>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</si>
  <si>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</si>
  <si>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</si>
  <si>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</si>
  <si>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</si>
  <si>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</si>
  <si>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</si>
  <si>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</si>
  <si>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</si>
  <si>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</si>
  <si>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</si>
  <si>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</si>
  <si>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</si>
  <si>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</si>
  <si>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</si>
  <si>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</si>
  <si>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</si>
  <si>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</si>
  <si>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</si>
  <si>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</si>
  <si>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</si>
  <si>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</si>
  <si>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</si>
  <si>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</si>
  <si>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</si>
  <si>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</si>
  <si>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</si>
  <si>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</si>
  <si>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</si>
  <si>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</si>
  <si>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</si>
  <si>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</si>
  <si>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</si>
  <si>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</si>
  <si>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</si>
  <si>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</si>
  <si>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</si>
  <si>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</si>
  <si>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</si>
  <si>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</si>
  <si>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</si>
  <si>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</si>
  <si>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</si>
  <si>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</si>
  <si>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</si>
  <si>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</si>
  <si>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</si>
  <si>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</si>
  <si>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</si>
  <si>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</si>
  <si>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</si>
  <si>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</si>
  <si>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</si>
  <si>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</si>
  <si>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</si>
  <si>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</si>
  <si>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</si>
  <si>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</si>
  <si>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</si>
  <si>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</si>
  <si>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</si>
  <si>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</si>
  <si>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</si>
  <si>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</si>
  <si>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</si>
  <si>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</si>
  <si>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</si>
  <si>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</si>
  <si>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</si>
  <si>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</si>
  <si>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</si>
  <si>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</si>
  <si>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</si>
  <si>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</si>
  <si>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</si>
  <si>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</si>
  <si>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</si>
  <si>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</si>
  <si>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</si>
  <si>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</si>
  <si>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</si>
  <si>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</si>
  <si>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</si>
  <si>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</si>
  <si>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</si>
  <si>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</si>
  <si>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</si>
  <si>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</si>
  <si>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</si>
  <si>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</si>
  <si>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</si>
  <si>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</si>
  <si>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</si>
  <si>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</si>
  <si>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</si>
  <si>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</si>
  <si>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</si>
  <si>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</si>
  <si>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</si>
  <si>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</si>
  <si>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</si>
  <si>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</si>
  <si>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</si>
  <si>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</si>
  <si>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</si>
  <si>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</si>
  <si>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</si>
  <si>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</si>
  <si>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</si>
  <si>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</si>
  <si>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</si>
  <si>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</si>
  <si>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</si>
  <si>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</si>
  <si>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</si>
  <si>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</si>
  <si>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</si>
  <si>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</si>
  <si>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</si>
  <si>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</si>
  <si>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</si>
  <si>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</si>
  <si>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</si>
  <si>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</si>
  <si>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</si>
  <si>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</si>
  <si>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</si>
  <si>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</si>
  <si>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</si>
  <si>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</si>
  <si>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</si>
  <si>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</si>
  <si>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</si>
  <si>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</si>
  <si>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</si>
  <si>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</si>
  <si>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</si>
  <si>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</si>
  <si>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</si>
  <si>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</si>
  <si>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</si>
  <si>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</si>
  <si>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</si>
  <si>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</si>
  <si>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</si>
  <si>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</si>
  <si>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</si>
  <si>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</si>
  <si>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</si>
  <si>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</si>
  <si>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</si>
  <si>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</si>
  <si>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</si>
  <si>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</si>
  <si>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</si>
  <si>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</si>
  <si>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</si>
  <si>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</si>
  <si>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</si>
  <si>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</si>
  <si>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</si>
  <si>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</si>
  <si>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</si>
  <si>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</si>
  <si>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</si>
  <si>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</si>
  <si>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</si>
  <si>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</si>
  <si>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</si>
  <si>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</si>
  <si>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</si>
  <si>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</si>
  <si>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</si>
  <si>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</si>
  <si>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</si>
  <si>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</si>
  <si>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</si>
  <si>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</si>
  <si>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</si>
  <si>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</si>
  <si>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</si>
  <si>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</si>
  <si>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</si>
  <si>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</si>
  <si>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</si>
  <si>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</si>
  <si>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</si>
  <si>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</si>
  <si>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</si>
  <si>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</si>
  <si>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</si>
  <si>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</si>
  <si>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</si>
  <si>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</si>
  <si>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</si>
  <si>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</si>
  <si>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</si>
  <si>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</si>
  <si>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</si>
  <si>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</si>
  <si>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</si>
  <si>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</si>
  <si>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</si>
  <si>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</si>
  <si>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</si>
  <si>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</si>
  <si>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</si>
  <si>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</si>
  <si>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</si>
  <si>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</si>
  <si>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</si>
  <si>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</si>
  <si>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</si>
  <si>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</si>
  <si>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</si>
  <si>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</si>
  <si>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</si>
  <si>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</si>
  <si>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</si>
  <si>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</si>
  <si>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</si>
  <si>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</si>
  <si>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</si>
  <si>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</si>
  <si>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</si>
  <si>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</si>
  <si>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</si>
  <si>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</si>
  <si>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</si>
  <si>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</si>
  <si>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</si>
  <si>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</si>
  <si>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</si>
  <si>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</si>
  <si>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</si>
  <si>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</si>
  <si>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</si>
  <si>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</si>
  <si>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</si>
  <si>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</si>
  <si>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</si>
  <si>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</si>
  <si>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</si>
  <si>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</si>
  <si>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</si>
  <si>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</si>
  <si>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</si>
  <si>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</si>
  <si>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</si>
  <si>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</si>
  <si>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</si>
  <si>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</si>
  <si>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</si>
  <si>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</si>
  <si>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</si>
  <si>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</si>
  <si>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</si>
  <si>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</si>
  <si>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</si>
  <si>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</si>
  <si>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</si>
  <si>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</si>
  <si>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</si>
  <si>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</si>
  <si>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</si>
  <si>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</si>
  <si>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</si>
  <si>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</si>
  <si>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</si>
  <si>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</si>
  <si>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</si>
  <si>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</si>
  <si>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</si>
  <si>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</si>
  <si>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</si>
  <si>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</si>
  <si>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</si>
  <si>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</si>
  <si>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</si>
  <si>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</si>
  <si>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</si>
  <si>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</si>
  <si>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</si>
  <si>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</si>
  <si>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</si>
  <si>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</si>
  <si>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</si>
  <si>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</si>
  <si>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</si>
  <si>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</si>
  <si>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</si>
  <si>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</si>
  <si>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</si>
  <si>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</si>
  <si>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</si>
  <si>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</si>
  <si>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</si>
  <si>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</si>
  <si>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</si>
  <si>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</si>
  <si>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</si>
  <si>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</si>
  <si>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</si>
  <si>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</si>
  <si>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</si>
  <si>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</si>
  <si>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</si>
  <si>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</si>
  <si>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</si>
  <si>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</si>
  <si>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</si>
  <si>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</si>
  <si>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</si>
  <si>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</si>
  <si>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</si>
  <si>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</si>
  <si>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</si>
  <si>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</si>
  <si>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</si>
  <si>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</si>
  <si>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</si>
  <si>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</si>
  <si>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</si>
  <si>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</si>
  <si>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</si>
  <si>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</si>
  <si>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</si>
  <si>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</si>
  <si>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</si>
  <si>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</si>
  <si>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</si>
  <si>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</si>
  <si>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</si>
  <si>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</si>
  <si>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</si>
  <si>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</si>
  <si>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</si>
  <si>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</si>
  <si>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</si>
  <si>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</si>
  <si>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</si>
  <si>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</si>
  <si>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</si>
  <si>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</si>
  <si>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</si>
  <si>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</si>
  <si>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</si>
  <si>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</si>
  <si>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</si>
  <si>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</si>
  <si>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</si>
  <si>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</si>
  <si>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</si>
  <si>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</si>
  <si>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</si>
  <si>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</si>
  <si>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</si>
  <si>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</si>
  <si>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</si>
  <si>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</si>
  <si>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</si>
  <si>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</si>
  <si>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</si>
  <si>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</si>
  <si>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</si>
  <si>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</si>
  <si>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</si>
  <si>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</si>
  <si>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</si>
  <si>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</si>
  <si>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</si>
  <si>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</si>
  <si>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</si>
  <si>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</si>
  <si>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</si>
  <si>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</si>
  <si>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</si>
  <si>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</si>
  <si>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</si>
  <si>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</si>
  <si>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</si>
  <si>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</si>
  <si>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</si>
  <si>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</si>
  <si>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</si>
  <si>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</si>
  <si>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</si>
  <si>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</si>
  <si>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</si>
  <si>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</si>
  <si>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</si>
  <si>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</si>
  <si>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</si>
  <si>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</si>
  <si>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</si>
  <si>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</si>
  <si>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</si>
  <si>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</si>
  <si>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</si>
  <si>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</si>
  <si>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</si>
  <si>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</si>
  <si>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</si>
  <si>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</si>
  <si>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</si>
  <si>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</si>
  <si>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</si>
  <si>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</si>
  <si>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</si>
  <si>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</si>
  <si>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</si>
  <si>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</si>
  <si>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</si>
  <si>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</si>
  <si>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</si>
  <si>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</si>
  <si>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</si>
  <si>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</si>
  <si>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</si>
  <si>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</si>
  <si>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</si>
  <si>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</si>
  <si>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</si>
  <si>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</si>
  <si>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</si>
  <si>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</si>
  <si>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</si>
  <si>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</si>
  <si>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</si>
  <si>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</si>
  <si>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</si>
  <si>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</si>
  <si>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</si>
  <si>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</si>
  <si>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</si>
  <si>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</si>
  <si>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</si>
  <si>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</si>
  <si>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</si>
  <si>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</si>
  <si>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</si>
  <si>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</si>
  <si>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</si>
  <si>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</si>
  <si>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</si>
  <si>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</si>
  <si>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</si>
  <si>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</si>
  <si>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</si>
  <si>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</si>
  <si>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</si>
  <si>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</si>
  <si>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</si>
  <si>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</si>
  <si>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</si>
  <si>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</si>
  <si>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</si>
  <si>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</si>
  <si>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</si>
  <si>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</si>
  <si>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</si>
  <si>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</si>
  <si>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</si>
  <si>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</si>
  <si>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</si>
  <si>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</si>
  <si>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</si>
  <si>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</si>
  <si>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</si>
  <si>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</si>
  <si>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</si>
  <si>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</si>
  <si>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</si>
  <si>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</si>
  <si>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</si>
  <si>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</si>
  <si>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</si>
  <si>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</si>
  <si>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</si>
  <si>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</si>
  <si>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</si>
  <si>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</si>
  <si>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</si>
  <si>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</si>
  <si>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</si>
  <si>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</si>
  <si>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</si>
  <si>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</si>
  <si>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</si>
  <si>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</si>
  <si>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</si>
  <si>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</si>
  <si>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</si>
  <si>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</si>
  <si>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</si>
  <si>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</si>
  <si>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</si>
  <si>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</si>
  <si>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</si>
  <si>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</si>
  <si>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</si>
  <si>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</si>
  <si>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</si>
  <si>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</si>
  <si>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</si>
  <si>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</si>
  <si>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</si>
  <si>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</si>
  <si>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</si>
  <si>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</si>
  <si>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</si>
  <si>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</si>
  <si>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</si>
  <si>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</si>
  <si>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</si>
  <si>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</si>
  <si>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</si>
  <si>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</si>
  <si>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</si>
  <si>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</si>
  <si>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</si>
  <si>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</si>
  <si>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</si>
  <si>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</si>
  <si>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</si>
  <si>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</si>
  <si>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</si>
  <si>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</si>
  <si>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</si>
  <si>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</si>
  <si>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</si>
  <si>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</si>
  <si>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</si>
  <si>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</si>
  <si>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</si>
  <si>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</si>
  <si>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</si>
  <si>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</si>
  <si>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</si>
  <si>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</si>
  <si>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</si>
  <si>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</si>
  <si>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</si>
  <si>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</si>
  <si>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</si>
  <si>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</si>
  <si>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</si>
  <si>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</si>
  <si>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</si>
  <si>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</si>
  <si>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</si>
  <si>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</si>
  <si>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</si>
  <si>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</si>
  <si>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</si>
  <si>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</si>
  <si>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</si>
  <si>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</si>
  <si>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</si>
  <si>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</si>
  <si>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</si>
  <si>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</si>
  <si>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</si>
  <si>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</si>
  <si>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</si>
  <si>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</si>
  <si>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</si>
  <si>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</si>
  <si>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</si>
  <si>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</si>
  <si>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</si>
  <si>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</si>
  <si>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</si>
  <si>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</si>
  <si>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</si>
  <si>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</si>
  <si>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</si>
  <si>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</si>
  <si>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</si>
  <si>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</si>
  <si>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</si>
  <si>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</si>
  <si>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</si>
  <si>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</si>
  <si>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</si>
  <si>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</si>
  <si>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</si>
  <si>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</si>
  <si>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</si>
  <si>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</si>
  <si>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</si>
  <si>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</si>
  <si>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</si>
  <si>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</si>
  <si>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</si>
  <si>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</si>
  <si>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</si>
  <si>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</si>
  <si>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</si>
  <si>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</si>
  <si>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</si>
  <si>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</si>
  <si>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</si>
  <si>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</si>
  <si>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</si>
  <si>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</si>
  <si>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</si>
  <si>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</si>
  <si>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</si>
  <si>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</si>
  <si>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</si>
  <si>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</si>
  <si>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</si>
  <si>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</si>
  <si>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</si>
  <si>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</si>
  <si>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</si>
  <si>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</si>
  <si>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</si>
  <si>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</si>
  <si>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</si>
  <si>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</si>
  <si>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</si>
  <si>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</si>
  <si>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</si>
  <si>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</si>
  <si>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</si>
  <si>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</si>
  <si>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</si>
  <si>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</si>
  <si>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</si>
  <si>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</si>
  <si>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</si>
  <si>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</si>
  <si>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</si>
  <si>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</si>
  <si>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</si>
  <si>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</si>
  <si>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</si>
  <si>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</si>
  <si>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</si>
  <si>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</si>
  <si>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</si>
  <si>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</si>
  <si>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</si>
  <si>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</si>
  <si>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</si>
  <si>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</si>
  <si>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</si>
  <si>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</si>
  <si>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</si>
  <si>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</si>
  <si>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</si>
  <si>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</si>
  <si>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</si>
  <si>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</si>
  <si>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</si>
  <si>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</si>
  <si>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</si>
  <si>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</si>
  <si>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</si>
  <si>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</si>
  <si>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</si>
  <si>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</si>
  <si>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</si>
  <si>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</si>
  <si>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</si>
  <si>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</si>
  <si>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</si>
  <si>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</si>
  <si>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</si>
  <si>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</si>
  <si>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</si>
  <si>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</si>
  <si>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</si>
  <si>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</si>
  <si>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</si>
  <si>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</si>
  <si>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</si>
  <si>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</si>
  <si>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</si>
  <si>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</si>
  <si>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</si>
  <si>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</si>
  <si>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</si>
  <si>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</si>
  <si>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</si>
  <si>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</si>
  <si>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</si>
  <si>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</si>
  <si>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</si>
  <si>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</si>
  <si>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</si>
  <si>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</si>
  <si>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</si>
  <si>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</si>
  <si>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</si>
  <si>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</si>
  <si>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</si>
  <si>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</si>
  <si>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</si>
  <si>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</si>
  <si>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</si>
  <si>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</si>
  <si>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</si>
  <si>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</si>
  <si>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</si>
  <si>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</si>
  <si>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</si>
  <si>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</si>
  <si>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</si>
  <si>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</si>
  <si>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</si>
  <si>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</si>
  <si>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</si>
  <si>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</si>
  <si>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</si>
  <si>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</si>
  <si>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</si>
  <si>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</si>
  <si>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</si>
  <si>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</si>
  <si>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</si>
  <si>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</si>
  <si>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</si>
  <si>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</si>
  <si>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</si>
  <si>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</si>
  <si>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</si>
  <si>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</si>
  <si>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</si>
  <si>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</si>
  <si>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</si>
  <si>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</si>
  <si>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</si>
  <si>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</si>
  <si>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</si>
  <si>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</si>
  <si>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</si>
  <si>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</si>
  <si>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</si>
  <si>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</si>
  <si>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</si>
  <si>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</si>
  <si>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</si>
  <si>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</si>
  <si>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</si>
  <si>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</si>
  <si>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</si>
  <si>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</si>
  <si>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</si>
  <si>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</si>
  <si>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</si>
  <si>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</si>
  <si>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</si>
  <si>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</si>
  <si>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</si>
  <si>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</si>
  <si>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</si>
  <si>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</si>
  <si>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</si>
  <si>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</si>
  <si>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</si>
  <si>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</si>
  <si>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</si>
  <si>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</si>
  <si>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</si>
  <si>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</si>
  <si>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</si>
  <si>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</si>
  <si>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</si>
  <si>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</si>
  <si>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</si>
  <si>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</si>
  <si>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</si>
  <si>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</si>
  <si>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</si>
  <si>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</si>
  <si>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</si>
  <si>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</si>
  <si>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</si>
  <si>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</si>
  <si>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</si>
  <si>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</si>
  <si>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</si>
  <si>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</si>
  <si>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</si>
  <si>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</si>
  <si>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</si>
  <si>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</si>
  <si>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</si>
  <si>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</si>
  <si>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</si>
  <si>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</si>
  <si>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</si>
  <si>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</si>
  <si>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</si>
  <si>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</si>
  <si>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</si>
  <si>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</si>
  <si>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</si>
  <si>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</si>
  <si>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</si>
  <si>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</si>
  <si>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</si>
  <si>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</si>
  <si>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</si>
  <si>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</si>
  <si>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</si>
  <si>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</si>
  <si>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</si>
  <si>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</si>
  <si>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</si>
  <si>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</si>
  <si>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</si>
  <si>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</si>
  <si>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</si>
  <si>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</si>
  <si>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</si>
  <si>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</si>
  <si>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</si>
  <si>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</si>
  <si>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</si>
  <si>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</si>
  <si>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</si>
  <si>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</si>
  <si>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</si>
  <si>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</si>
  <si>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</si>
  <si>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</si>
  <si>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</si>
  <si>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</si>
  <si>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</si>
  <si>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</si>
  <si>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</si>
  <si>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</si>
  <si>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</si>
  <si>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</si>
  <si>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</si>
  <si>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</si>
  <si>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</si>
  <si>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</si>
  <si>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</si>
  <si>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</si>
  <si>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</si>
  <si>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</si>
  <si>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</si>
  <si>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</si>
  <si>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</si>
  <si>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</si>
  <si>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</si>
  <si>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</si>
  <si>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</si>
  <si>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</si>
  <si>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</si>
  <si>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</si>
  <si>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</si>
  <si>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</si>
  <si>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</si>
  <si>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</si>
  <si>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</si>
  <si>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</si>
  <si>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</si>
  <si>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</si>
  <si>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</si>
  <si>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</si>
  <si>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</si>
  <si>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</si>
  <si>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</si>
  <si>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</si>
  <si>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</si>
  <si>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</si>
  <si>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</si>
  <si>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</si>
  <si>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</si>
  <si>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</si>
  <si>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</si>
  <si>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</si>
  <si>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</si>
  <si>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</si>
  <si>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</si>
  <si>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</si>
  <si>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</si>
  <si>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</si>
  <si>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</si>
  <si>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</si>
  <si>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</si>
  <si>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</si>
  <si>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</si>
  <si>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</si>
  <si>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</si>
  <si>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</si>
  <si>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</si>
  <si>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</si>
  <si>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</si>
  <si>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</si>
  <si>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</si>
  <si>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</si>
  <si>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</si>
  <si>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</si>
  <si>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</si>
  <si>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</si>
  <si>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</si>
  <si>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</si>
  <si>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</si>
  <si>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</si>
  <si>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</si>
  <si>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</si>
  <si>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</si>
  <si>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</si>
  <si>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</si>
  <si>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</si>
  <si>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</si>
  <si>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</si>
  <si>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</si>
  <si>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</si>
  <si>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</si>
  <si>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</si>
  <si>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</si>
  <si>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</si>
  <si>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</si>
  <si>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</si>
  <si>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</si>
  <si>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</si>
  <si>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</si>
  <si>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</si>
  <si>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</si>
  <si>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</si>
  <si>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</si>
  <si>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</si>
  <si>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</si>
  <si>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</si>
  <si>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</si>
  <si>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</si>
  <si>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</si>
  <si>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</si>
  <si>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</si>
  <si>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</si>
  <si>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</si>
  <si>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</si>
  <si>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</si>
  <si>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</si>
  <si>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</si>
  <si>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</si>
  <si>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</si>
  <si>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</si>
  <si>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</si>
  <si>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</si>
  <si>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</si>
  <si>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</si>
  <si>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</si>
  <si>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</si>
  <si>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</si>
  <si>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</si>
  <si>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</si>
  <si>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</si>
  <si>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</si>
  <si>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</si>
  <si>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</si>
  <si>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</si>
  <si>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</si>
  <si>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</si>
  <si>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</si>
  <si>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</si>
  <si>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</si>
  <si>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</si>
  <si>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</si>
  <si>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</si>
  <si>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</si>
  <si>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</si>
  <si>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</si>
  <si>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</si>
  <si>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</si>
  <si>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</si>
  <si>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</si>
  <si>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</si>
  <si>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</si>
  <si>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</si>
  <si>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</si>
  <si>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</si>
  <si>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</si>
  <si>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</si>
  <si>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</si>
  <si>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</si>
  <si>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</si>
  <si>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</si>
  <si>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</si>
  <si>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</si>
  <si>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</si>
  <si>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</si>
  <si>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</si>
  <si>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</si>
  <si>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</si>
  <si>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</si>
  <si>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</si>
  <si>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</si>
  <si>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</si>
  <si>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</si>
  <si>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</si>
  <si>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</si>
  <si>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</si>
  <si>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</si>
  <si>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</si>
  <si>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</si>
  <si>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</si>
  <si>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</si>
  <si>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</si>
  <si>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</si>
  <si>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</si>
  <si>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</si>
  <si>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</si>
  <si>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</si>
  <si>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</si>
  <si>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</si>
  <si>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</si>
  <si>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</si>
  <si>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</si>
  <si>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</si>
  <si>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</si>
  <si>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</si>
  <si>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</si>
  <si>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</si>
  <si>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</si>
  <si>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</si>
  <si>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</si>
  <si>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</si>
  <si>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</si>
  <si>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</si>
  <si>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</si>
  <si>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</si>
  <si>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</si>
  <si>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</si>
  <si>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</si>
  <si>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</si>
  <si>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</si>
  <si>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</si>
  <si>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</si>
  <si>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</si>
  <si>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</si>
  <si>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</si>
  <si>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</si>
  <si>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</si>
  <si>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</si>
  <si>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</si>
  <si>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</si>
  <si>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</si>
  <si>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</si>
  <si>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</si>
  <si>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</si>
  <si>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</si>
  <si>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</si>
  <si>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</si>
  <si>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</si>
  <si>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</si>
  <si>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</si>
  <si>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</si>
  <si>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</si>
  <si>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</si>
  <si>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</si>
  <si>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</si>
  <si>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</si>
  <si>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</si>
  <si>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</si>
  <si>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</si>
  <si>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</si>
  <si>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</si>
  <si>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</si>
  <si>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</si>
  <si>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</si>
  <si>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</si>
  <si>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</si>
  <si>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</si>
  <si>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</si>
  <si>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</si>
  <si>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</si>
  <si>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</si>
  <si>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</si>
  <si>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</si>
  <si>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</si>
  <si>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</si>
  <si>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</si>
  <si>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</si>
  <si>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</si>
  <si>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</si>
  <si>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</si>
  <si>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</si>
  <si>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</si>
  <si>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</si>
  <si>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</si>
  <si>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</si>
  <si>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</si>
  <si>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</si>
  <si>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</si>
  <si>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</si>
  <si>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</si>
  <si>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</si>
  <si>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</si>
  <si>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</si>
  <si>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</si>
  <si>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</si>
  <si>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</si>
  <si>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</si>
  <si>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</si>
  <si>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</si>
  <si>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</si>
  <si>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</si>
  <si>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</si>
  <si>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</si>
  <si>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</si>
  <si>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</si>
  <si>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</si>
  <si>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</si>
  <si>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</si>
  <si>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</si>
  <si>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</si>
  <si>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</si>
  <si>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</si>
  <si>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</si>
  <si>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</si>
  <si>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</si>
  <si>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</si>
  <si>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</si>
  <si>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</si>
  <si>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</si>
  <si>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</si>
  <si>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</si>
  <si>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</si>
  <si>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</si>
  <si>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</si>
  <si>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</si>
  <si>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</si>
  <si>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</si>
  <si>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</si>
  <si>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</si>
  <si>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</si>
  <si>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</si>
  <si>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</si>
  <si>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</si>
  <si>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</si>
  <si>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</si>
  <si>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</si>
  <si>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</si>
  <si>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</si>
  <si>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</si>
  <si>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</si>
  <si>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</si>
  <si>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</si>
  <si>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</si>
  <si>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</si>
  <si>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</si>
  <si>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</si>
  <si>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</si>
  <si>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</si>
  <si>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</si>
  <si>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</si>
  <si>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</si>
  <si>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</si>
  <si>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</si>
  <si>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</si>
  <si>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</si>
  <si>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</si>
  <si>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</si>
  <si>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</si>
  <si>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</si>
  <si>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</si>
  <si>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</si>
  <si>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</si>
  <si>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</si>
  <si>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</si>
  <si>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</si>
  <si>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</si>
  <si>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</si>
  <si>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</si>
  <si>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</si>
  <si>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</si>
  <si>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</si>
  <si>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</si>
  <si>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</si>
  <si>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</si>
  <si>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</si>
  <si>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</si>
  <si>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</si>
  <si>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</si>
  <si>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</si>
  <si>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</si>
  <si>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</si>
  <si>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</si>
  <si>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</si>
  <si>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</si>
  <si>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</si>
  <si>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</si>
  <si>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</si>
  <si>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</si>
  <si>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</si>
  <si>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</si>
  <si>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</si>
  <si>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</si>
  <si>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</si>
  <si>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</si>
  <si>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</si>
  <si>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</si>
  <si>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</si>
  <si>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</si>
  <si>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</si>
  <si>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</si>
  <si>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</si>
  <si>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</si>
  <si>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</si>
  <si>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</si>
  <si>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</si>
  <si>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</si>
  <si>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</si>
  <si>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</si>
  <si>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</si>
  <si>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</si>
  <si>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</si>
  <si>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</si>
  <si>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</si>
  <si>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</si>
  <si>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</si>
  <si>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</si>
  <si>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</si>
  <si>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</si>
  <si>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</si>
  <si>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</si>
  <si>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</si>
  <si>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</si>
  <si>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</si>
  <si>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</si>
  <si>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</si>
  <si>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</si>
  <si>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</si>
  <si>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</si>
  <si>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</si>
  <si>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</si>
  <si>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</si>
  <si>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</si>
  <si>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</si>
  <si>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</si>
  <si>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</si>
  <si>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</si>
  <si>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</si>
  <si>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</si>
  <si>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</si>
  <si>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</si>
  <si>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</si>
  <si>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</si>
  <si>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</si>
  <si>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</si>
  <si>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</si>
  <si>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</si>
  <si>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</si>
  <si>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</si>
  <si>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</si>
  <si>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</si>
  <si>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</si>
  <si>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</si>
  <si>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</si>
  <si>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</si>
  <si>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</si>
  <si>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</si>
  <si>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</si>
  <si>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</si>
  <si>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</si>
  <si>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</si>
  <si>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</si>
  <si>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</si>
  <si>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</si>
  <si>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</si>
  <si>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</si>
  <si>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</si>
  <si>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</si>
  <si>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</si>
  <si>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</si>
  <si>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</si>
  <si>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</si>
  <si>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</si>
  <si>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</si>
  <si>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</si>
  <si>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</si>
  <si>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</si>
  <si>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</si>
  <si>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</si>
  <si>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</si>
  <si>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</si>
  <si>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</si>
  <si>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</si>
  <si>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</si>
  <si>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</si>
  <si>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</si>
  <si>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</si>
  <si>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</si>
  <si>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</si>
  <si>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</si>
  <si>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</si>
  <si>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</si>
  <si>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</si>
  <si>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</si>
  <si>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</si>
  <si>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</si>
  <si>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</si>
  <si>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</si>
  <si>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</si>
  <si>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</si>
  <si>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</si>
  <si>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</si>
  <si>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</si>
  <si>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</si>
  <si>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</si>
  <si>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</si>
  <si>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</si>
  <si>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</si>
  <si>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</si>
  <si>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</si>
  <si>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</si>
  <si>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</si>
  <si>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</si>
  <si>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</si>
  <si>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</si>
  <si>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</si>
  <si>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</si>
  <si>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</si>
  <si>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</si>
  <si>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</si>
  <si>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</si>
  <si>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</si>
  <si>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</si>
  <si>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</si>
  <si>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</si>
  <si>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</si>
  <si>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</si>
  <si>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</si>
  <si>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</si>
  <si>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</si>
  <si>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</si>
  <si>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</si>
  <si>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</si>
  <si>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</si>
  <si>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</si>
  <si>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</si>
  <si>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</si>
  <si>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</si>
  <si>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</si>
  <si>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</si>
  <si>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</si>
  <si>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</si>
  <si>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</si>
  <si>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</si>
  <si>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</si>
  <si>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</si>
  <si>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</si>
  <si>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</si>
  <si>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</si>
  <si>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</si>
  <si>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</si>
  <si>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</si>
  <si>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</si>
  <si>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</si>
  <si>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</si>
  <si>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</si>
  <si>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</si>
  <si>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</si>
  <si>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</si>
  <si>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</si>
  <si>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</si>
  <si>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</si>
  <si>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</si>
  <si>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</si>
  <si>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</si>
  <si>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</si>
  <si>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</si>
  <si>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</si>
  <si>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</si>
  <si>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</si>
  <si>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</si>
  <si>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</si>
  <si>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</si>
  <si>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</si>
  <si>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</si>
  <si>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</si>
  <si>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</si>
  <si>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</si>
  <si>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</si>
  <si>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</si>
  <si>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</si>
  <si>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</si>
  <si>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</si>
  <si>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</si>
  <si>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</si>
  <si>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</si>
  <si>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</si>
  <si>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</si>
  <si>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</si>
  <si>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</si>
  <si>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</si>
  <si>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</si>
  <si>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</si>
  <si>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</si>
  <si>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</si>
  <si>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</si>
  <si>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</si>
  <si>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</si>
  <si>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</si>
  <si>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</si>
  <si>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</si>
  <si>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</si>
  <si>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</si>
  <si>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</si>
  <si>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</si>
  <si>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</si>
  <si>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</si>
  <si>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</si>
  <si>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</si>
  <si>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</si>
  <si>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</si>
  <si>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</si>
  <si>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</si>
  <si>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</si>
  <si>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</si>
  <si>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</si>
  <si>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</si>
  <si>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</si>
  <si>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</si>
  <si>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</si>
  <si>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</si>
  <si>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</si>
  <si>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</si>
  <si>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</si>
  <si>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</si>
  <si>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</si>
  <si>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</si>
  <si>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</si>
  <si>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</si>
  <si>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</si>
  <si>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</si>
  <si>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</si>
  <si>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</si>
  <si>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</si>
  <si>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</si>
  <si>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</si>
  <si>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</si>
  <si>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</si>
  <si>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</si>
  <si>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</si>
  <si>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</si>
  <si>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</si>
  <si>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</si>
  <si>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</si>
  <si>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</si>
  <si>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</si>
  <si>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</si>
  <si>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</si>
  <si>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</si>
  <si>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</si>
  <si>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</si>
  <si>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</si>
  <si>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</si>
  <si>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</si>
  <si>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</si>
  <si>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</si>
  <si>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</si>
  <si>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</si>
  <si>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</si>
  <si>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</si>
  <si>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</si>
  <si>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</si>
  <si>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</si>
  <si>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</si>
  <si>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</si>
  <si>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</si>
  <si>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</si>
  <si>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</si>
  <si>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</si>
  <si>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</si>
  <si>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</si>
  <si>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</si>
  <si>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</si>
  <si>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</si>
  <si>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</si>
  <si>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</si>
  <si>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</si>
  <si>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</si>
  <si>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</si>
  <si>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</si>
  <si>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</si>
  <si>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</si>
  <si>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</si>
  <si>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</si>
  <si>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</si>
  <si>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</si>
  <si>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</si>
  <si>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</si>
  <si>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</si>
  <si>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</si>
  <si>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</si>
  <si>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</si>
  <si>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</si>
  <si>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</si>
  <si>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</si>
  <si>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</si>
  <si>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</si>
  <si>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</si>
  <si>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</si>
  <si>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</si>
  <si>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</si>
  <si>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</si>
  <si>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</si>
  <si>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</si>
  <si>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</si>
  <si>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</si>
  <si>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</si>
  <si>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</si>
  <si>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</si>
  <si>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</si>
  <si>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</si>
  <si>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</si>
  <si>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</si>
  <si>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</si>
  <si>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</si>
  <si>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</si>
  <si>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</si>
  <si>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</si>
  <si>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</si>
  <si>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</si>
  <si>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</si>
  <si>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</si>
  <si>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</si>
  <si>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</si>
  <si>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</si>
  <si>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</si>
  <si>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</si>
  <si>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</si>
  <si>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</si>
  <si>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</si>
  <si>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</si>
  <si>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</si>
  <si>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</si>
  <si>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</si>
  <si>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</si>
  <si>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</si>
  <si>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</si>
  <si>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</si>
  <si>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</si>
  <si>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</si>
  <si>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</si>
  <si>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</si>
  <si>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</si>
  <si>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</si>
  <si>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</si>
  <si>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</si>
  <si>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</si>
  <si>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</si>
  <si>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</si>
  <si>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</si>
  <si>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</si>
  <si>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</si>
  <si>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</si>
  <si>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</si>
  <si>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</si>
  <si>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</si>
  <si>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</si>
  <si>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</si>
  <si>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</si>
  <si>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</si>
  <si>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</si>
  <si>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</si>
  <si>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</si>
  <si>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</si>
  <si>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</si>
  <si>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</si>
  <si>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</si>
  <si>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</si>
  <si>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</si>
  <si>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</si>
  <si>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</si>
  <si>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</si>
  <si>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</si>
  <si>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</si>
  <si>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</si>
  <si>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</si>
  <si>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</si>
  <si>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</si>
  <si>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</si>
  <si>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</si>
  <si>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</si>
  <si>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</si>
  <si>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</si>
  <si>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</si>
  <si>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</si>
  <si>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</si>
  <si>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</si>
  <si>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</si>
  <si>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</si>
  <si>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</si>
  <si>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</si>
  <si>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</si>
  <si>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</si>
  <si>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</si>
  <si>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</si>
  <si>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</si>
  <si>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</si>
  <si>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</si>
  <si>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</si>
  <si>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</si>
  <si>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</si>
  <si>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</si>
  <si>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</si>
  <si>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</si>
  <si>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</si>
  <si>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</si>
  <si>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</si>
  <si>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</si>
  <si>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</si>
  <si>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</si>
  <si>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</si>
  <si>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</si>
  <si>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</si>
  <si>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</si>
  <si>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</si>
  <si>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</si>
  <si>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</si>
  <si>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</si>
  <si>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</si>
  <si>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</si>
  <si>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</si>
  <si>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</si>
  <si>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</si>
  <si>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</si>
  <si>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</si>
  <si>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</si>
  <si>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</si>
  <si>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</si>
  <si>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</si>
  <si>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</si>
  <si>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</si>
  <si>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</si>
  <si>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</si>
  <si>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</si>
  <si>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</si>
  <si>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</si>
  <si>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</si>
  <si>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</si>
  <si>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</si>
  <si>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</si>
  <si>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</si>
  <si>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</si>
  <si>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</si>
  <si>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</si>
  <si>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</si>
  <si>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</si>
  <si>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</si>
  <si>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</si>
  <si>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</si>
  <si>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</si>
  <si>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</si>
  <si>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</si>
  <si>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</si>
  <si>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</si>
  <si>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</si>
  <si>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</si>
  <si>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</si>
  <si>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</si>
  <si>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</si>
  <si>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</si>
  <si>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</si>
  <si>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</si>
  <si>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</si>
  <si>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</si>
  <si>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</si>
  <si>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</si>
  <si>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</si>
  <si>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</si>
  <si>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</si>
  <si>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</si>
  <si>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</si>
  <si>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</si>
  <si>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</si>
  <si>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</si>
  <si>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</si>
  <si>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</si>
  <si>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</si>
  <si>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</si>
  <si>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</si>
  <si>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</si>
  <si>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</si>
  <si>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</si>
  <si>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</si>
  <si>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</si>
  <si>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</si>
  <si>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</si>
  <si>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</si>
  <si>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</si>
  <si>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</si>
  <si>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</si>
  <si>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</si>
  <si>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</si>
  <si>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</si>
  <si>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</si>
  <si>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</si>
  <si>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</si>
  <si>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</si>
  <si>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</si>
  <si>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</si>
  <si>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</si>
  <si>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</si>
  <si>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</si>
  <si>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</si>
  <si>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</si>
  <si>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</si>
  <si>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</si>
  <si>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</si>
  <si>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</si>
  <si>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</si>
  <si>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</si>
  <si>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</si>
  <si>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</si>
  <si>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</si>
  <si>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</si>
  <si>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</si>
  <si>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</si>
  <si>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</si>
  <si>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</si>
  <si>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</si>
  <si>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</si>
  <si>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</si>
  <si>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</si>
  <si>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</si>
  <si>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</si>
  <si>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</si>
  <si>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</si>
  <si>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</si>
  <si>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</si>
  <si>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</si>
  <si>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</si>
  <si>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</si>
  <si>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</si>
  <si>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</si>
  <si>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</si>
  <si>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</si>
  <si>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</si>
  <si>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</si>
  <si>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</si>
  <si>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</si>
  <si>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</si>
  <si>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</si>
  <si>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</si>
  <si>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</si>
  <si>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</si>
  <si>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</si>
  <si>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</si>
  <si>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</si>
  <si>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</si>
  <si>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</si>
  <si>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</si>
  <si>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</si>
  <si>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</si>
  <si>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</si>
  <si>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</si>
  <si>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</si>
  <si>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</si>
  <si>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</si>
  <si>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</si>
  <si>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</si>
  <si>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</si>
  <si>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</si>
  <si>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</si>
  <si>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</si>
  <si>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</si>
  <si>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</si>
  <si>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</si>
  <si>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</si>
  <si>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</si>
  <si>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</si>
  <si>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</si>
  <si>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</si>
  <si>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</si>
  <si>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</si>
  <si>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</si>
  <si>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</si>
  <si>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</si>
  <si>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</si>
  <si>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</si>
  <si>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</si>
  <si>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</si>
  <si>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</si>
  <si>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</si>
  <si>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</si>
  <si>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</si>
  <si>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</si>
  <si>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</si>
  <si>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</si>
  <si>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</si>
  <si>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</si>
  <si>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</si>
  <si>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</si>
  <si>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</si>
  <si>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</si>
  <si>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</si>
  <si>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</si>
  <si>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</si>
  <si>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</si>
  <si>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</si>
  <si>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</si>
  <si>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</si>
  <si>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</si>
  <si>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</si>
  <si>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</si>
  <si>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</si>
  <si>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</si>
  <si>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</si>
  <si>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</si>
  <si>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</si>
  <si>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</si>
  <si>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</si>
  <si>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</si>
  <si>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</si>
  <si>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</si>
  <si>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</si>
  <si>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</si>
  <si>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</si>
  <si>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</si>
  <si>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</si>
  <si>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</si>
  <si>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</si>
  <si>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</si>
  <si>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</si>
  <si>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</si>
  <si>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</si>
  <si>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</si>
  <si>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</si>
  <si>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</si>
  <si>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</si>
  <si>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</si>
  <si>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</si>
  <si>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</si>
  <si>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</si>
  <si>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</si>
  <si>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</si>
  <si>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</si>
  <si>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</si>
  <si>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</si>
  <si>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</si>
  <si>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</si>
  <si>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</si>
  <si>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</si>
  <si>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</si>
  <si>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</si>
  <si>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</si>
  <si>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</si>
  <si>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</si>
  <si>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</si>
  <si>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</si>
  <si>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</si>
  <si>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</si>
  <si>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</si>
  <si>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</si>
  <si>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</si>
  <si>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</si>
  <si>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</si>
  <si>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</si>
  <si>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</si>
  <si>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</si>
  <si>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</si>
  <si>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</si>
  <si>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</si>
  <si>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</si>
  <si>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</si>
  <si>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</si>
  <si>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</si>
  <si>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</si>
  <si>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</si>
  <si>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</si>
  <si>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</si>
  <si>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</si>
  <si>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</si>
  <si>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</si>
  <si>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</si>
  <si>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</si>
  <si>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</si>
  <si>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</si>
  <si>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</si>
  <si>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</si>
  <si>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</si>
  <si>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</si>
  <si>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</si>
  <si>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</si>
  <si>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</si>
  <si>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</si>
  <si>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</si>
  <si>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</si>
  <si>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</si>
  <si>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</si>
  <si>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</si>
  <si>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</si>
  <si>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</si>
  <si>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</si>
  <si>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</si>
  <si>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</si>
  <si>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</si>
  <si>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</si>
  <si>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</si>
  <si>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</si>
  <si>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</si>
  <si>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</si>
  <si>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</si>
  <si>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</si>
  <si>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</si>
  <si>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</si>
  <si>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</si>
  <si>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</si>
  <si>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</si>
  <si>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</si>
  <si>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</si>
  <si>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</si>
  <si>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</si>
  <si>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</si>
  <si>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</si>
  <si>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</si>
  <si>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</si>
  <si>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</si>
  <si>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</si>
  <si>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</si>
  <si>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</si>
  <si>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</si>
  <si>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</si>
  <si>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</si>
  <si>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</si>
  <si>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</si>
  <si>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</si>
  <si>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</si>
  <si>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</si>
  <si>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</si>
  <si>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</si>
  <si>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</si>
  <si>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</si>
  <si>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</si>
  <si>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</si>
  <si>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</si>
  <si>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</si>
  <si>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</si>
  <si>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</si>
  <si>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</si>
  <si>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</si>
  <si>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</si>
  <si>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</si>
  <si>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</si>
  <si>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</si>
  <si>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</si>
  <si>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</si>
  <si>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</si>
  <si>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</si>
  <si>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</si>
  <si>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</si>
  <si>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</si>
  <si>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</si>
  <si>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</si>
  <si>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</si>
  <si>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</si>
  <si>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</si>
  <si>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</si>
  <si>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</si>
  <si>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</si>
  <si>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</si>
  <si>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</si>
  <si>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</si>
  <si>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</si>
  <si>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</si>
  <si>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</si>
  <si>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</si>
  <si>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</si>
  <si>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</si>
  <si>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</si>
  <si>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</si>
  <si>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</si>
  <si>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</si>
  <si>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</si>
  <si>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</si>
  <si>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</si>
  <si>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</si>
  <si>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</si>
  <si>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</si>
  <si>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</si>
  <si>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</si>
  <si>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</si>
  <si>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</si>
  <si>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</si>
  <si>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</si>
  <si>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</si>
  <si>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</si>
  <si>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</si>
  <si>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</si>
  <si>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</si>
  <si>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</si>
  <si>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</si>
  <si>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</si>
  <si>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</si>
  <si>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</si>
  <si>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</si>
  <si>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</si>
  <si>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</si>
  <si>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</si>
  <si>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</si>
  <si>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</si>
  <si>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</si>
  <si>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</si>
  <si>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</si>
  <si>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</si>
  <si>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</si>
  <si>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</si>
  <si>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</si>
  <si>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</si>
  <si>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</si>
  <si>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</si>
  <si>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</si>
  <si>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</si>
  <si>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</si>
  <si>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</si>
  <si>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</si>
  <si>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</si>
  <si>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</si>
  <si>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</si>
  <si>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</si>
  <si>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</si>
  <si>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</si>
  <si>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</si>
  <si>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</si>
  <si>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</si>
  <si>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</si>
  <si>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</si>
  <si>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</si>
  <si>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</si>
  <si>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</si>
  <si>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</si>
  <si>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</si>
  <si>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</si>
  <si>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</si>
  <si>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</si>
  <si>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</si>
  <si>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</si>
  <si>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</si>
  <si>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</si>
  <si>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</si>
  <si>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</si>
  <si>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</si>
  <si>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</si>
  <si>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</si>
  <si>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</si>
  <si>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</si>
  <si>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</si>
  <si>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</si>
  <si>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</si>
  <si>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</si>
  <si>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</si>
  <si>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</si>
  <si>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</si>
  <si>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</si>
  <si>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</si>
  <si>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</si>
  <si>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</si>
  <si>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</si>
  <si>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</si>
  <si>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</si>
  <si>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</si>
  <si>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</si>
  <si>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</si>
  <si>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</si>
  <si>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</si>
  <si>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</si>
  <si>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</si>
  <si>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</si>
  <si>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</si>
  <si>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</si>
  <si>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</si>
  <si>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</si>
  <si>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</si>
  <si>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</si>
  <si>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</si>
  <si>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</si>
  <si>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</si>
  <si>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</si>
  <si>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</si>
  <si>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</si>
  <si>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</si>
  <si>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</si>
  <si>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</si>
  <si>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</si>
  <si>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</si>
  <si>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</si>
  <si>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</si>
  <si>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</si>
  <si>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</si>
  <si>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</si>
  <si>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</si>
  <si>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</si>
  <si>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</si>
  <si>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</si>
  <si>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</si>
  <si>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</si>
  <si>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</si>
  <si>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</si>
  <si>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</si>
  <si>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</si>
  <si>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</si>
  <si>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</si>
  <si>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</si>
  <si>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</si>
  <si>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</si>
  <si>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</si>
  <si>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</si>
  <si>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</si>
  <si>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</si>
  <si>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</si>
  <si>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</si>
  <si>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</si>
  <si>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</si>
  <si>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</si>
  <si>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</si>
  <si>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</si>
  <si>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</si>
  <si>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</si>
  <si>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</si>
  <si>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</si>
  <si>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</si>
  <si>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</si>
  <si>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</si>
  <si>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</si>
  <si>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</si>
  <si>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</si>
  <si>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</si>
  <si>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</si>
  <si>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</si>
  <si>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</si>
  <si>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</si>
  <si>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</si>
  <si>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</si>
  <si>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</si>
  <si>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</si>
  <si>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</si>
  <si>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</si>
  <si>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</si>
  <si>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</si>
  <si>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</si>
  <si>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</si>
  <si>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</si>
  <si>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</si>
  <si>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</si>
  <si>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</si>
  <si>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</si>
  <si>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</si>
  <si>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</si>
  <si>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</si>
  <si>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</si>
  <si>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</si>
  <si>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</si>
  <si>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</si>
  <si>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</si>
  <si>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</si>
  <si>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</si>
  <si>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</si>
  <si>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</si>
  <si>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</si>
  <si>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</si>
  <si>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</si>
  <si>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</si>
  <si>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</si>
  <si>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</si>
  <si>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</si>
  <si>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</si>
  <si>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</si>
  <si>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</si>
  <si>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</si>
  <si>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</si>
  <si>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</si>
  <si>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</si>
  <si>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</si>
  <si>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</si>
  <si>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</si>
  <si>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</si>
  <si>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</si>
  <si>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</si>
  <si>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</si>
  <si>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</si>
  <si>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</si>
  <si>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</si>
  <si>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</si>
  <si>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</si>
  <si>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</si>
  <si>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</si>
  <si>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</si>
  <si>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</si>
  <si>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</si>
  <si>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</si>
  <si>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</si>
  <si>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</si>
  <si>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</si>
  <si>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</si>
  <si>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</si>
  <si>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</si>
  <si>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</si>
  <si>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</si>
  <si>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</si>
  <si>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</si>
  <si>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</si>
  <si>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</si>
  <si>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</si>
  <si>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</si>
  <si>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</si>
  <si>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</si>
  <si>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</si>
  <si>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</si>
  <si>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</si>
  <si>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</si>
  <si>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</si>
  <si>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</si>
  <si>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</si>
  <si>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</si>
  <si>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</si>
  <si>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</si>
  <si>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</si>
  <si>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</si>
  <si>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</si>
  <si>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</si>
  <si>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</si>
  <si>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</si>
  <si>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</si>
  <si>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</si>
  <si>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</si>
  <si>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</si>
  <si>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</si>
  <si>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</si>
  <si>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</si>
  <si>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</si>
  <si>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</si>
  <si>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</si>
  <si>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</si>
  <si>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</si>
  <si>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</si>
  <si>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</si>
  <si>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</si>
  <si>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</si>
  <si>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</si>
  <si>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</si>
  <si>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</si>
  <si>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</si>
  <si>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</si>
  <si>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</si>
  <si>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</si>
  <si>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</si>
  <si>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</si>
  <si>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</si>
  <si>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</si>
  <si>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</si>
  <si>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</si>
  <si>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</si>
  <si>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</si>
  <si>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</si>
  <si>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</si>
  <si>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</si>
  <si>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</si>
  <si>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</si>
  <si>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</si>
  <si>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</si>
  <si>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</si>
  <si>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</si>
  <si>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</si>
  <si>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</si>
  <si>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</si>
  <si>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</si>
  <si>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</si>
  <si>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</si>
  <si>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</si>
  <si>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</si>
  <si>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</si>
  <si>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</si>
  <si>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</si>
  <si>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</si>
  <si>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</si>
  <si>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</si>
  <si>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</si>
  <si>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</si>
  <si>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</si>
  <si>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</si>
  <si>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</si>
  <si>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</si>
  <si>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</si>
  <si>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</si>
  <si>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</si>
  <si>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</si>
  <si>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</si>
  <si>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</si>
  <si>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</si>
  <si>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</si>
  <si>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</si>
  <si>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</si>
  <si>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</si>
  <si>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</si>
  <si>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</si>
  <si>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</si>
  <si>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</si>
  <si>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</si>
  <si>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</si>
  <si>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</si>
  <si>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</si>
  <si>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</si>
  <si>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</si>
  <si>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</si>
  <si>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</si>
  <si>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</si>
  <si>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</si>
  <si>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</si>
  <si>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</si>
  <si>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</si>
  <si>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</si>
  <si>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</si>
  <si>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</si>
  <si>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</si>
  <si>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</si>
  <si>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</si>
  <si>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</si>
  <si>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</si>
  <si>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</si>
  <si>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</si>
  <si>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</si>
  <si>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</si>
  <si>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</si>
  <si>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</si>
  <si>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</si>
  <si>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</si>
  <si>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</si>
  <si>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</si>
  <si>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</si>
  <si>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</si>
  <si>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</si>
  <si>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</si>
  <si>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</si>
  <si>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</si>
  <si>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</si>
  <si>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</si>
  <si>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</si>
  <si>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</si>
  <si>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</si>
  <si>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</si>
  <si>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</si>
  <si>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</si>
  <si>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</si>
  <si>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</si>
  <si>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</si>
  <si>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</si>
  <si>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</si>
  <si>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</si>
  <si>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</si>
  <si>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</si>
  <si>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</si>
  <si>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</si>
  <si>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</si>
  <si>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</si>
  <si>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</si>
  <si>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</si>
  <si>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</si>
  <si>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</si>
  <si>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</si>
  <si>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</si>
  <si>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</si>
  <si>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</si>
  <si>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</si>
  <si>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</si>
  <si>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</si>
  <si>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</si>
  <si>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</si>
  <si>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</si>
  <si>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</si>
  <si>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</si>
  <si>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</si>
  <si>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</si>
  <si>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</si>
  <si>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</si>
  <si>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</si>
  <si>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</si>
  <si>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</si>
  <si>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</si>
  <si>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</si>
  <si>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</si>
  <si>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</si>
  <si>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</si>
  <si>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</si>
  <si>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</si>
  <si>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</si>
  <si>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</si>
  <si>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</si>
  <si>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</si>
  <si>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</si>
  <si>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</si>
  <si>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</si>
  <si>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</si>
  <si>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</si>
  <si>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</si>
  <si>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</si>
  <si>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</si>
  <si>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</si>
  <si>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</si>
  <si>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</si>
  <si>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</si>
  <si>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</si>
  <si>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</si>
  <si>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</si>
  <si>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</si>
  <si>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</si>
  <si>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</si>
  <si>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</si>
  <si>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</si>
  <si>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</si>
  <si>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</si>
  <si>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</si>
  <si>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</si>
  <si>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</si>
  <si>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</si>
  <si>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</si>
  <si>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</si>
  <si>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</si>
  <si>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</si>
  <si>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</si>
  <si>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</si>
  <si>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</si>
  <si>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</si>
  <si>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</si>
  <si>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</si>
  <si>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</si>
  <si>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</si>
  <si>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</si>
  <si>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</si>
  <si>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</si>
  <si>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</si>
  <si>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</si>
  <si>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</si>
  <si>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</si>
  <si>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</si>
  <si>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</si>
  <si>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</si>
  <si>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</si>
  <si>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</si>
  <si>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</si>
  <si>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</si>
  <si>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</si>
  <si>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</si>
  <si>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</si>
  <si>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</si>
  <si>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</si>
  <si>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</si>
  <si>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</si>
  <si>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</si>
  <si>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</si>
  <si>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</si>
  <si>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</si>
  <si>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</si>
  <si>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</si>
  <si>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</si>
  <si>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</si>
  <si>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</si>
  <si>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</si>
  <si>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</si>
  <si>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</si>
  <si>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</si>
  <si>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</si>
  <si>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</si>
  <si>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</si>
  <si>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</si>
  <si>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</si>
  <si>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</si>
  <si>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</si>
  <si>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</si>
  <si>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</si>
  <si>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</si>
  <si>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</si>
  <si>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</si>
  <si>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</si>
  <si>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</si>
  <si>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</si>
  <si>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</si>
  <si>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</si>
  <si>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</si>
  <si>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</si>
  <si>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</si>
  <si>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</si>
  <si>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</si>
  <si>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</si>
  <si>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</si>
  <si>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</si>
  <si>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</si>
  <si>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</si>
  <si>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</si>
  <si>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</si>
  <si>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</si>
  <si>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</si>
  <si>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</si>
  <si>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</si>
  <si>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</si>
  <si>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</si>
  <si>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</si>
  <si>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</si>
  <si>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</si>
  <si>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</si>
  <si>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</si>
  <si>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</si>
  <si>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</si>
  <si>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</si>
  <si>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</si>
  <si>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</si>
  <si>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</si>
  <si>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</si>
  <si>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</si>
  <si>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</si>
  <si>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</si>
  <si>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</si>
  <si>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</si>
  <si>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</si>
  <si>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</si>
  <si>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</si>
  <si>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</si>
  <si>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</si>
  <si>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</si>
  <si>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</si>
  <si>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</si>
  <si>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</si>
  <si>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</si>
  <si>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</si>
  <si>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</si>
  <si>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</si>
  <si>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</si>
  <si>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</si>
  <si>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</si>
  <si>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</si>
  <si>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</si>
  <si>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</si>
  <si>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</si>
  <si>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</si>
  <si>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</si>
  <si>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</si>
  <si>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</si>
  <si>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</si>
  <si>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</si>
  <si>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</si>
  <si>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</si>
  <si>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</si>
  <si>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</si>
  <si>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</si>
  <si>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</si>
  <si>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</si>
  <si>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</si>
  <si>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</si>
  <si>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</si>
  <si>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</si>
  <si>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</si>
  <si>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</si>
  <si>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</si>
  <si>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</si>
  <si>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</si>
  <si>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</si>
  <si>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</si>
  <si>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</si>
  <si>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</si>
  <si>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</si>
  <si>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</si>
  <si>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</si>
  <si>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</si>
  <si>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</si>
  <si>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</si>
  <si>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</si>
  <si>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</si>
  <si>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</si>
  <si>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</si>
  <si>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</si>
  <si>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</si>
  <si>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</si>
  <si>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</si>
  <si>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</si>
  <si>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</si>
  <si>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</si>
  <si>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</si>
  <si>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</si>
  <si>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</si>
  <si>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</si>
  <si>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</si>
  <si>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</si>
  <si>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</si>
  <si>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</si>
  <si>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</si>
  <si>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</si>
  <si>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</si>
  <si>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</si>
  <si>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</si>
  <si>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</si>
  <si>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</si>
  <si>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</si>
  <si>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</si>
  <si>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</si>
  <si>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</si>
  <si>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</si>
  <si>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</si>
  <si>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</si>
  <si>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</si>
  <si>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</si>
  <si>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</si>
  <si>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</si>
  <si>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</si>
  <si>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</si>
  <si>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</si>
  <si>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</si>
  <si>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</si>
  <si>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</si>
  <si>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</si>
  <si>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</si>
  <si>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</si>
  <si>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</si>
  <si>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</si>
  <si>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</si>
  <si>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</si>
  <si>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</si>
  <si>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</si>
  <si>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</si>
  <si>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</si>
  <si>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</si>
  <si>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</si>
  <si>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</si>
  <si>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</si>
  <si>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</si>
  <si>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</si>
  <si>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</si>
  <si>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</si>
  <si>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</si>
  <si>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</si>
  <si>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</si>
  <si>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</si>
  <si>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</si>
  <si>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</si>
  <si>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</si>
  <si>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</si>
  <si>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</si>
  <si>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</si>
  <si>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</si>
  <si>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</si>
  <si>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</si>
  <si>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</si>
  <si>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</si>
  <si>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</si>
  <si>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</si>
  <si>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</si>
  <si>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</si>
  <si>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</si>
  <si>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</si>
  <si>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</si>
  <si>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</si>
  <si>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</si>
  <si>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</si>
  <si>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</si>
  <si>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</si>
  <si>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</si>
  <si>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</si>
  <si>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</si>
  <si>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</si>
  <si>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</si>
  <si>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</si>
  <si>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</si>
  <si>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</si>
  <si>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</si>
  <si>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</si>
  <si>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</si>
  <si>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</si>
  <si>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</si>
  <si>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</si>
  <si>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</si>
  <si>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</si>
  <si>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</si>
  <si>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</si>
  <si>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</si>
  <si>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</si>
  <si>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</si>
  <si>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</si>
  <si>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</si>
  <si>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</si>
  <si>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</si>
  <si>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</si>
  <si>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</si>
  <si>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</si>
  <si>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</si>
  <si>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</si>
  <si>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</si>
  <si>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</si>
  <si>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</si>
  <si>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</si>
  <si>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</si>
  <si>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</si>
  <si>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</si>
  <si>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</si>
  <si>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</si>
  <si>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</si>
  <si>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</si>
  <si>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</si>
  <si>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</si>
  <si>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</si>
  <si>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</si>
  <si>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</si>
  <si>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</si>
  <si>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</si>
  <si>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</si>
  <si>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</si>
  <si>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</si>
  <si>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</si>
  <si>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</si>
  <si>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</si>
  <si>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</si>
  <si>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</si>
  <si>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</si>
  <si>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</si>
  <si>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</si>
  <si>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</si>
  <si>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</si>
  <si>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</si>
  <si>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</si>
  <si>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</si>
  <si>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</si>
  <si>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</si>
  <si>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</si>
  <si>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</si>
  <si>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</si>
  <si>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</si>
  <si>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</si>
  <si>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</si>
  <si>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</si>
  <si>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</si>
  <si>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</si>
  <si>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</si>
  <si>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</si>
  <si>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</si>
  <si>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</si>
  <si>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</si>
  <si>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</si>
  <si>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</si>
  <si>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</si>
  <si>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</si>
  <si>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</si>
  <si>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</si>
  <si>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</si>
  <si>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</si>
  <si>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</si>
  <si>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</si>
  <si>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</si>
  <si>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</si>
  <si>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</si>
  <si>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</si>
  <si>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</si>
  <si>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</si>
  <si>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</si>
  <si>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</si>
  <si>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</si>
  <si>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</si>
  <si>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</si>
  <si>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</si>
  <si>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</si>
  <si>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</si>
  <si>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</si>
  <si>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</si>
  <si>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</si>
  <si>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</si>
  <si>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</si>
  <si>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</si>
  <si>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</si>
  <si>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</si>
  <si>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</si>
  <si>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</si>
  <si>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</si>
  <si>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</si>
  <si>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</si>
  <si>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</si>
  <si>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</si>
  <si>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</si>
  <si>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</si>
  <si>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</si>
  <si>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</si>
  <si>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</si>
  <si>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</si>
  <si>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</si>
  <si>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</si>
  <si>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</si>
  <si>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</si>
  <si>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</si>
  <si>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</si>
  <si>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</si>
  <si>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</si>
  <si>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</si>
  <si>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</si>
  <si>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</si>
  <si>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</si>
  <si>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</si>
  <si>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</si>
  <si>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</si>
  <si>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</si>
  <si>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</si>
  <si>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</si>
  <si>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</si>
  <si>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</si>
  <si>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</si>
  <si>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</si>
  <si>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</si>
  <si>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</si>
  <si>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</si>
  <si>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</si>
  <si>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</si>
  <si>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</si>
  <si>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</si>
  <si>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</si>
  <si>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</si>
  <si>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</si>
  <si>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</si>
  <si>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</si>
  <si>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</si>
  <si>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</si>
  <si>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</si>
  <si>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</si>
  <si>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</si>
  <si>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</si>
  <si>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</si>
  <si>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</si>
  <si>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</si>
  <si>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</si>
  <si>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</si>
  <si>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</si>
  <si>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</si>
  <si>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</si>
  <si>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</si>
  <si>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</si>
  <si>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</si>
  <si>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</si>
  <si>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</si>
  <si>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</si>
  <si>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</si>
  <si>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</si>
  <si>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</si>
  <si>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</si>
  <si>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</si>
  <si>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</si>
  <si>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</si>
  <si>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</si>
  <si>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</si>
  <si>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</si>
  <si>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</si>
  <si>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</si>
  <si>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</si>
  <si>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</si>
  <si>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</si>
  <si>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</si>
  <si>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</si>
  <si>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</si>
  <si>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</si>
  <si>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</si>
  <si>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</si>
  <si>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</si>
  <si>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</si>
  <si>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</si>
  <si>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</si>
  <si>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</si>
  <si>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</si>
  <si>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</si>
  <si>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</si>
  <si>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</si>
  <si>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</si>
  <si>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</si>
  <si>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</si>
  <si>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</si>
  <si>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</si>
  <si>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</si>
  <si>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</si>
  <si>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</si>
  <si>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</si>
  <si>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</si>
  <si>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</si>
  <si>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</si>
  <si>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</si>
  <si>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</si>
  <si>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</si>
  <si>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</si>
  <si>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</si>
  <si>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</si>
  <si>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</si>
  <si>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</si>
  <si>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</si>
  <si>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</si>
  <si>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</si>
  <si>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</si>
  <si>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</si>
  <si>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</si>
  <si>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</si>
  <si>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</si>
  <si>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</si>
  <si>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</si>
  <si>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</si>
  <si>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</si>
  <si>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</si>
  <si>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</si>
  <si>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</si>
  <si>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</si>
  <si>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</si>
  <si>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</si>
  <si>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</si>
  <si>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</si>
  <si>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</si>
  <si>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</si>
  <si>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</si>
  <si>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</si>
  <si>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</si>
  <si>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</si>
  <si>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</si>
  <si>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</si>
  <si>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</si>
  <si>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</si>
  <si>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</si>
  <si>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</si>
  <si>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</si>
  <si>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</si>
  <si>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</si>
  <si>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</si>
  <si>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</si>
  <si>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</si>
  <si>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</si>
  <si>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</si>
  <si>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</si>
  <si>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</si>
  <si>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</si>
  <si>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</si>
  <si>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</si>
  <si>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</si>
  <si>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</si>
  <si>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</si>
  <si>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</si>
  <si>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</si>
  <si>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</si>
  <si>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</si>
  <si>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</si>
  <si>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</si>
  <si>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</si>
  <si>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</si>
  <si>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</si>
  <si>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</si>
  <si>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</si>
  <si>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</si>
  <si>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</si>
  <si>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</si>
  <si>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</si>
  <si>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</si>
  <si>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</si>
  <si>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</si>
  <si>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</si>
  <si>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</si>
  <si>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</si>
  <si>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</si>
  <si>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</si>
  <si>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</si>
  <si>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</si>
  <si>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</si>
  <si>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</si>
  <si>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</si>
  <si>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</si>
  <si>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</si>
  <si>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</si>
  <si>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</si>
  <si>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</si>
  <si>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</si>
  <si>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</si>
  <si>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</si>
  <si>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</si>
  <si>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</si>
  <si>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</si>
  <si>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</si>
  <si>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</si>
  <si>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</si>
  <si>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</si>
  <si>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</si>
  <si>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</si>
  <si>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</si>
  <si>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</si>
  <si>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</si>
  <si>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</si>
  <si>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</si>
  <si>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</si>
  <si>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</si>
  <si>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</si>
  <si>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</si>
  <si>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</si>
  <si>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</si>
  <si>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</si>
  <si>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</si>
  <si>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</si>
  <si>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</si>
  <si>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</si>
  <si>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</si>
  <si>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</si>
  <si>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</si>
  <si>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</si>
  <si>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</si>
  <si>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</si>
  <si>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</si>
  <si>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</si>
  <si>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</si>
  <si>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</si>
  <si>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</si>
  <si>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</si>
  <si>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</si>
  <si>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</si>
  <si>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</si>
  <si>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</si>
  <si>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</si>
  <si>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</si>
  <si>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</si>
  <si>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</si>
  <si>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</si>
  <si>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</si>
  <si>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</si>
  <si>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</si>
  <si>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</si>
  <si>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</si>
  <si>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</si>
  <si>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</si>
  <si>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</si>
  <si>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</si>
  <si>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</si>
  <si>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</si>
  <si>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</si>
  <si>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</si>
  <si>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</si>
  <si>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</si>
  <si>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</si>
  <si>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</si>
  <si>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</si>
  <si>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</si>
  <si>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</si>
  <si>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</si>
  <si>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</si>
  <si>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</si>
  <si>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</si>
  <si>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</si>
  <si>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</si>
  <si>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</si>
  <si>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</si>
  <si>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</si>
  <si>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</si>
  <si>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</si>
  <si>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</si>
  <si>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</si>
  <si>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</si>
  <si>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</si>
  <si>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</si>
  <si>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</si>
  <si>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</si>
  <si>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</si>
  <si>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</si>
  <si>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</si>
  <si>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</si>
  <si>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</si>
  <si>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</si>
  <si>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</si>
  <si>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</si>
  <si>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</si>
  <si>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</si>
  <si>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</si>
  <si>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</si>
  <si>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</si>
  <si>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</si>
  <si>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</si>
  <si>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</si>
  <si>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</si>
  <si>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</si>
  <si>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</si>
  <si>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</si>
  <si>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</si>
  <si>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</si>
  <si>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</si>
  <si>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</si>
  <si>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</si>
  <si>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</si>
  <si>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</si>
  <si>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</si>
  <si>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</si>
  <si>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</si>
  <si>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</si>
  <si>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</si>
  <si>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</si>
  <si>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</si>
  <si>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</si>
  <si>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</si>
  <si>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</si>
  <si>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</si>
  <si>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</si>
  <si>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</si>
  <si>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</si>
  <si>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</si>
  <si>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</si>
  <si>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</si>
  <si>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</si>
  <si>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</si>
  <si>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</si>
  <si>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</si>
  <si>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</si>
  <si>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</si>
  <si>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</si>
  <si>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</si>
  <si>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</si>
  <si>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</si>
  <si>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</si>
  <si>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</si>
  <si>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</si>
  <si>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</si>
  <si>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</si>
  <si>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</si>
  <si>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</si>
  <si>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</si>
  <si>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</si>
  <si>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</si>
  <si>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</si>
  <si>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</si>
  <si>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</si>
  <si>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</si>
  <si>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</si>
  <si>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</si>
  <si>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</si>
  <si>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</si>
  <si>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</si>
  <si>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</si>
  <si>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</si>
  <si>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</si>
  <si>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</si>
  <si>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</si>
  <si>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</si>
  <si>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</si>
  <si>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</si>
  <si>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</si>
  <si>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</si>
  <si>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</si>
  <si>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</si>
  <si>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</si>
  <si>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</si>
  <si>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</si>
  <si>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</si>
  <si>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</si>
  <si>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</si>
  <si>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</si>
  <si>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</si>
  <si>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</si>
  <si>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</si>
  <si>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</si>
  <si>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</si>
  <si>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</si>
  <si>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</si>
  <si>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</si>
  <si>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</si>
  <si>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</si>
  <si>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</si>
  <si>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</si>
  <si>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</si>
  <si>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</si>
  <si>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</si>
  <si>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</si>
  <si>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</si>
  <si>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</si>
  <si>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</si>
  <si>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</si>
  <si>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</si>
  <si>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</si>
  <si>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</si>
  <si>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</si>
  <si>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</si>
  <si>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</si>
  <si>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</si>
  <si>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</si>
  <si>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</si>
  <si>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</si>
  <si>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</si>
  <si>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</si>
  <si>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</si>
  <si>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</si>
  <si>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</si>
  <si>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</si>
  <si>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</si>
  <si>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</si>
  <si>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</si>
  <si>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</si>
  <si>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</si>
  <si>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</si>
  <si>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</si>
  <si>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</si>
  <si>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</si>
  <si>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QUO-01866-B7J1D2</t>
  </si>
  <si>
    <t>Green Dot Marketing 2025 beta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</si>
</sst>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73"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66">
      <pivotArea type="all" dataOnly="0" outline="0" fieldPosition="0"/>
    </format>
    <format dxfId="265">
      <pivotArea outline="0" collapsedLevelsAreSubtotals="1" fieldPosition="0"/>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dataOnly="0" labelOnly="1" grandRow="1" outline="0" fieldPosition="0"/>
    </format>
    <format dxfId="259">
      <pivotArea dataOnly="0" labelOnly="1" outline="0" axis="axisValues" fieldPosition="0"/>
    </format>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dataOnly="0" labelOnly="1" grandRow="1" outline="0" fieldPosition="0"/>
    </format>
    <format dxfId="251">
      <pivotArea dataOnly="0" labelOnly="1" outline="0" axis="axisValues" fieldPosition="0"/>
    </format>
    <format dxfId="250">
      <pivotArea grandRow="1" outline="0" collapsedLevelsAreSubtotals="1" fieldPosition="0"/>
    </format>
    <format dxfId="249">
      <pivotArea dataOnly="0" labelOnly="1" grandRow="1" outline="0" fieldPosition="0"/>
    </format>
    <format dxfId="248">
      <pivotArea type="all" dataOnly="0" outline="0" fieldPosition="0"/>
    </format>
    <format dxfId="247">
      <pivotArea dataOnly="0" labelOnly="1" outline="0" axis="axisValues" fieldPosition="0"/>
    </format>
    <format dxfId="246">
      <pivotArea field="2" type="button" dataOnly="0" labelOnly="1" outline="0" axis="axisRow" fieldPosition="1"/>
    </format>
    <format dxfId="245">
      <pivotArea dataOnly="0" labelOnly="1" outline="0" axis="axisValues" fieldPosition="0"/>
    </format>
    <format dxfId="244">
      <pivotArea field="2" type="button" dataOnly="0" labelOnly="1" outline="0" axis="axisRow" fieldPosition="1"/>
    </format>
    <format dxfId="243">
      <pivotArea dataOnly="0" labelOnly="1" outline="0" axis="axisValues" fieldPosition="0"/>
    </format>
    <format dxfId="242">
      <pivotArea dataOnly="0" labelOnly="1" fieldPosition="0">
        <references count="1">
          <reference field="2" count="0"/>
        </references>
      </pivotArea>
    </format>
    <format dxfId="241">
      <pivotArea outline="0" collapsedLevelsAreSubtotals="1" fieldPosition="0"/>
    </format>
    <format dxfId="240">
      <pivotArea dataOnly="0" labelOnly="1" fieldPosition="0">
        <references count="1">
          <reference field="2" count="11">
            <x v="0"/>
            <x v="2"/>
            <x v="3"/>
            <x v="4"/>
            <x v="5"/>
            <x v="6"/>
            <x v="7"/>
            <x v="8"/>
            <x v="9"/>
            <x v="10"/>
            <x v="11"/>
          </reference>
        </references>
      </pivotArea>
    </format>
    <format dxfId="239">
      <pivotArea dataOnly="0" labelOnly="1" grandRow="1" outline="0" fieldPosition="0"/>
    </format>
    <format dxfId="238">
      <pivotArea field="0" type="button" dataOnly="0" labelOnly="1" outline="0" axis="axisRow" fieldPosition="0"/>
    </format>
    <format dxfId="237">
      <pivotArea field="0" type="button" dataOnly="0" labelOnly="1" outline="0" axis="axisRow" fieldPosition="0"/>
    </format>
    <format dxfId="236">
      <pivotArea dataOnly="0" labelOnly="1" grandRow="1" outline="0" offset="A256" fieldPosition="0"/>
    </format>
    <format dxfId="23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12" activePane="bottomLeft" state="frozen"/>
      <selection activeCell="G20" sqref="G20"/>
      <selection pane="bottomLeft" activeCell="C23" sqref="C23"/>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38" activePane="bottomLeft" state="frozen"/>
      <selection activeCell="G20" sqref="G20"/>
      <selection pane="bottomLeft" activeCell="Y55" sqref="Y5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997395</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0.58280428841706955</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Green Dot Marketing 2025 beta</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45916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T&amp;M</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2" t="s">
        <v>367</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2" t="s">
        <v>367</v>
      </c>
      <c r="L49" s="1683"/>
      <c r="M49" s="1684"/>
      <c r="N49" s="1190" cm="1">
        <f t="array" ref="N49">IF($E$20="Credera US",V49,SUMPRODUCT(('Rates &amp; Drop Downs INT'!$CG$6:$CG$747=$D49)*('Rates &amp; Drop Downs INT'!$CI$6:$CI$747=$F49)*('Rates &amp; Drop Downs INT'!$CK$6:$CK$747=$K49)*('Rates &amp; Drop Downs INT'!$CM$6:$CM$747)))</f>
        <v>2</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90" t="s">
        <v>78</v>
      </c>
      <c r="AD49" s="1691"/>
      <c r="AE49" s="881" t="s">
        <v>78</v>
      </c>
      <c r="AF49" s="892" t="s">
        <v>78</v>
      </c>
      <c r="AH49" s="1685"/>
      <c r="AI49" s="168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2" t="s">
        <v>749</v>
      </c>
      <c r="L50" s="1683"/>
      <c r="M50" s="1684"/>
      <c r="N50" s="1190" cm="1">
        <f t="array" ref="N50">IF($E$20="Credera US",V50,SUMPRODUCT(('Rates &amp; Drop Downs INT'!$CG$6:$CG$747=$D50)*('Rates &amp; Drop Downs INT'!$CI$6:$CI$747=$F50)*('Rates &amp; Drop Downs INT'!$CK$6:$CK$747=$K50)*('Rates &amp; Drop Downs INT'!$CM$6:$CM$747)))</f>
        <v>2</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2</v>
      </c>
      <c r="W50" s="1203" t="str">
        <f t="shared" si="0"/>
        <v>Onshore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2" t="s">
        <v>749</v>
      </c>
      <c r="L51" s="1683"/>
      <c r="M51" s="1684"/>
      <c r="N51" s="1190" cm="1">
        <f t="array" ref="N51">IF($E$20="Credera US",V51,SUMPRODUCT(('Rates &amp; Drop Downs INT'!$CG$6:$CG$747=$D51)*('Rates &amp; Drop Downs INT'!$CI$6:$CI$747=$F51)*('Rates &amp; Drop Downs INT'!$CK$6:$CK$747=$K51)*('Rates &amp; Drop Downs INT'!$CM$6:$CM$747)))</f>
        <v>2</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2</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2" t="s">
        <v>536</v>
      </c>
      <c r="L52" s="1683"/>
      <c r="M52" s="1684"/>
      <c r="N52" s="1190" cm="1">
        <f t="array" ref="N52">IF($E$20="Credera US",V52,SUMPRODUCT(('Rates &amp; Drop Downs INT'!$CG$6:$CG$747=$D52)*('Rates &amp; Drop Downs INT'!$CI$6:$CI$747=$F52)*('Rates &amp; Drop Downs INT'!$CK$6:$CK$747=$K52)*('Rates &amp; Drop Downs INT'!$CM$6:$CM$747)))</f>
        <v>3</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0</v>
      </c>
      <c r="W52" s="1203" t="str">
        <f t="shared" si="0"/>
        <v>Onshore</v>
      </c>
      <c r="X52" s="1203"/>
      <c r="Y52" s="880">
        <v>40</v>
      </c>
      <c r="Z52" s="1187"/>
      <c r="AA52" s="1190"/>
      <c r="AB52" s="1274"/>
      <c r="AC52" s="1690" t="s">
        <v>78</v>
      </c>
      <c r="AD52" s="1691"/>
      <c r="AE52" s="881"/>
      <c r="AF52" s="892"/>
      <c r="AH52" s="1685"/>
      <c r="AI52" s="168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2" t="s">
        <v>3363</v>
      </c>
      <c r="L53" s="1683"/>
      <c r="M53" s="1684"/>
      <c r="N53" s="1190" cm="1">
        <f t="array" ref="N53">IF($E$20="Credera US",V53,SUMPRODUCT(('Rates &amp; Drop Downs INT'!$CG$6:$CG$747=$D53)*('Rates &amp; Drop Downs INT'!$CI$6:$CI$747=$F53)*('Rates &amp; Drop Downs INT'!$CK$6:$CK$747=$K53)*('Rates &amp; Drop Downs INT'!$CM$6:$CM$747)))</f>
        <v>2</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2</v>
      </c>
      <c r="W53" s="1203" t="str">
        <f t="shared" si="0"/>
        <v>Offshore</v>
      </c>
      <c r="X53" s="1203"/>
      <c r="Y53" s="880">
        <v>32</v>
      </c>
      <c r="Z53" s="1187"/>
      <c r="AA53" s="1190"/>
      <c r="AB53" s="1274"/>
      <c r="AC53" s="1690"/>
      <c r="AD53" s="1691"/>
      <c r="AE53" s="881"/>
      <c r="AF53" s="892"/>
      <c r="AH53" s="1685"/>
      <c r="AI53" s="1685"/>
      <c r="CM53" s="425"/>
    </row>
    <row r="54" spans="3:91" ht="16.05" customHeight="1" x14ac:dyDescent="0.25">
      <c r="C54" s="1186" t="s">
        <v>269</v>
      </c>
      <c r="D54" s="1187" t="s">
        <v>262</v>
      </c>
      <c r="E54" s="1187" t="str">
        <f>IFERROR(_xlfn.XLOOKUP(D54,TADIndia,'Rates &amp; Drop Downs INT'!$CH$6:$CH$747),"")</f>
        <v>Adobe</v>
      </c>
      <c r="F54" s="1187" t="s">
        <v>1209</v>
      </c>
      <c r="G54" s="1187" t="str">
        <f>IFERROR(_xlfn.XLOOKUP(F54,'Rates &amp; Drop Downs INT'!$CI$6:$CI$747,'Rates &amp; Drop Downs INT'!$CJ$6:$CJ$747),"")</f>
        <v>Adobe_UI</v>
      </c>
      <c r="H54" s="1187" t="str">
        <f>_xlfn.XLOOKUP(F54,'Rates &amp; Drop Downs INT'!$DF$6:$DF$173,'Rates &amp; Drop Downs INT'!$DG$6:$DG$173,"")</f>
        <v>ADOBEUISP</v>
      </c>
      <c r="I54" s="1187"/>
      <c r="J54" s="1188"/>
      <c r="K54" s="1682" t="s">
        <v>534</v>
      </c>
      <c r="L54" s="1683"/>
      <c r="M54" s="1684"/>
      <c r="N54" s="1190" cm="1">
        <f t="array" ref="N54">IF($E$20="Credera US",V54,SUMPRODUCT(('Rates &amp; Drop Downs INT'!$CG$6:$CG$747=$D54)*('Rates &amp; Drop Downs INT'!$CI$6:$CI$747=$F54)*('Rates &amp; Drop Downs INT'!$CK$6:$CK$747=$K54)*('Rates &amp; Drop Downs INT'!$CM$6:$CM$747)))</f>
        <v>2</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0</v>
      </c>
      <c r="W54" s="1203" t="str">
        <f t="shared" si="0"/>
        <v>Offshore</v>
      </c>
      <c r="X54" s="1203"/>
      <c r="Y54" s="880">
        <v>40</v>
      </c>
      <c r="Z54" s="1187"/>
      <c r="AA54" s="1190"/>
      <c r="AB54" s="1274"/>
      <c r="AC54" s="1690"/>
      <c r="AD54" s="1691"/>
      <c r="AE54" s="881"/>
      <c r="AF54" s="892"/>
      <c r="AH54" s="1685"/>
      <c r="AI54" s="1685"/>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2" t="s">
        <v>444</v>
      </c>
      <c r="L55" s="1683"/>
      <c r="M55" s="1684"/>
      <c r="N55" s="1190" cm="1">
        <f t="array" ref="N55">IF($E$20="Credera US",V55,SUMPRODUCT(('Rates &amp; Drop Downs INT'!$CG$6:$CG$747=$D55)*('Rates &amp; Drop Downs INT'!$CI$6:$CI$747=$F55)*('Rates &amp; Drop Downs INT'!$CK$6:$CK$747=$K55)*('Rates &amp; Drop Downs INT'!$CM$6:$CM$747)))</f>
        <v>5</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f>IFERROR(IF(ISBLANK(K55)," ",_xlfn.XLOOKUP(K55,'Rates &amp; Drop Downs INT'!C:C,'Rates &amp; Drop Downs INT'!J:J)),N55)</f>
        <v>0</v>
      </c>
      <c r="W55" s="1203" t="str">
        <f t="shared" si="0"/>
        <v>Offshore</v>
      </c>
      <c r="X55" s="1203"/>
      <c r="Y55" s="880">
        <v>20</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Sr. Developer</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0.56022271714922045</v>
      </c>
      <c r="E288" s="520"/>
      <c r="F288" s="521"/>
      <c r="G288" s="1211"/>
      <c r="H288" s="1211"/>
      <c r="J288" s="1211"/>
    </row>
    <row r="289" spans="2:16" ht="25.95" customHeight="1" x14ac:dyDescent="0.25">
      <c r="B289" s="555"/>
      <c r="C289" s="907" t="s">
        <v>2197</v>
      </c>
      <c r="D289" s="908">
        <f>SUM(D291:D390)</f>
        <v>898000</v>
      </c>
      <c r="E289" s="908"/>
      <c r="F289" s="908">
        <f>SUM(F291:F390)</f>
        <v>394920</v>
      </c>
      <c r="G289" s="398"/>
      <c r="H289" s="398"/>
      <c r="K289" s="714"/>
      <c r="M289" s="1349">
        <f>SUM(M291:M346)</f>
        <v>8440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Sr. Developer</v>
      </c>
      <c r="D297" s="918">
        <f t="shared" si="89"/>
        <v>78000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opLeftCell="BF21" zoomScale="80" zoomScaleNormal="80" workbookViewId="0">
      <selection activeCell="BT34" sqref="BT34"/>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 beta</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8.2" thickBot="1" x14ac:dyDescent="0.35">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8.2" thickBot="1" x14ac:dyDescent="0.35">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 CDP</v>
      </c>
      <c r="D16" s="193" t="str">
        <f t="shared" ref="D16:D33" si="47">G16&amp;"__"&amp;H16&amp;"__"&amp;I16</f>
        <v>Acquia__Acquia CDP__Acquia CDP</v>
      </c>
      <c r="E16" s="193">
        <v>21</v>
      </c>
      <c r="F16" s="193">
        <v>8</v>
      </c>
      <c r="G16" s="194" t="str">
        <f>'2. Roles &amp; Pricing'!D48</f>
        <v>Acquia</v>
      </c>
      <c r="H16" s="194" t="str">
        <f>'2. Roles &amp; Pricing'!F48</f>
        <v>Acquia CDP</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1" thickBot="1" x14ac:dyDescent="0.35">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1" thickBot="1" x14ac:dyDescent="0.35">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UI</v>
      </c>
      <c r="D22" s="207" t="str">
        <f t="shared" si="47"/>
        <v>Adobe__Adobe UI__Adobe UI</v>
      </c>
      <c r="E22" s="207">
        <v>21</v>
      </c>
      <c r="F22" s="207">
        <v>8</v>
      </c>
      <c r="G22" s="208" t="str">
        <f>'2. Roles &amp; Pricing'!D54</f>
        <v>Adobe</v>
      </c>
      <c r="H22" s="194" t="str">
        <f>'2. Roles &amp; Pricing'!F54</f>
        <v>Adobe UI</v>
      </c>
      <c r="I22" s="210" t="str">
        <f>'2. Roles &amp; Pricing'!F54</f>
        <v>Adobe UI</v>
      </c>
      <c r="J22" s="210" t="str">
        <f>'2. Roles &amp; Pricing'!K54</f>
        <v>Sr. Developer</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27000</v>
      </c>
      <c r="BR22" s="623">
        <f>'2. Roles &amp; Pricing'!F297</f>
        <v>27000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898000</v>
      </c>
      <c r="BQ34" s="199">
        <f>'2. Roles &amp; Pricing'!F309</f>
        <v>0</v>
      </c>
      <c r="BR34" s="252"/>
      <c r="BS34" s="253"/>
      <c r="BT34" s="254">
        <f>SUM(BT16:BT33)</f>
        <v>898000</v>
      </c>
      <c r="BU34" s="255">
        <f>SUM(BU16:BU33)</f>
        <v>8440</v>
      </c>
    </row>
    <row r="35" spans="1:94" s="204" customFormat="1" ht="14.4" thickBot="1" x14ac:dyDescent="0.35">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898000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28320</v>
      </c>
      <c r="O38" s="275">
        <f t="shared" si="52"/>
        <v>28320</v>
      </c>
      <c r="P38" s="276">
        <f t="shared" si="52"/>
        <v>28320</v>
      </c>
      <c r="Q38" s="277">
        <f t="shared" si="52"/>
        <v>28320</v>
      </c>
      <c r="R38" s="278">
        <f t="shared" si="52"/>
        <v>30520</v>
      </c>
      <c r="S38" s="277">
        <f t="shared" si="52"/>
        <v>30520</v>
      </c>
      <c r="T38" s="278">
        <f t="shared" si="52"/>
        <v>30520</v>
      </c>
      <c r="U38" s="277">
        <f t="shared" si="52"/>
        <v>30520</v>
      </c>
      <c r="V38" s="278">
        <f t="shared" si="52"/>
        <v>30520</v>
      </c>
      <c r="W38" s="277">
        <f t="shared" si="52"/>
        <v>30520</v>
      </c>
      <c r="X38" s="278">
        <f t="shared" si="52"/>
        <v>30520</v>
      </c>
      <c r="Y38" s="277">
        <f t="shared" si="52"/>
        <v>30520</v>
      </c>
      <c r="Z38" s="278">
        <f t="shared" si="52"/>
        <v>30520</v>
      </c>
      <c r="AA38" s="277">
        <f t="shared" si="52"/>
        <v>28320</v>
      </c>
      <c r="AB38" s="278">
        <f t="shared" si="52"/>
        <v>28320</v>
      </c>
      <c r="AC38" s="277">
        <f t="shared" si="52"/>
        <v>28320</v>
      </c>
      <c r="AD38" s="278">
        <f t="shared" si="52"/>
        <v>28320</v>
      </c>
      <c r="AE38" s="277">
        <f t="shared" si="52"/>
        <v>30520</v>
      </c>
      <c r="AF38" s="278">
        <f t="shared" si="52"/>
        <v>30520</v>
      </c>
      <c r="AG38" s="277">
        <f t="shared" si="52"/>
        <v>30520</v>
      </c>
      <c r="AH38" s="277">
        <f t="shared" si="52"/>
        <v>30520</v>
      </c>
      <c r="AI38" s="278">
        <f t="shared" si="52"/>
        <v>30520</v>
      </c>
      <c r="AJ38" s="277">
        <f t="shared" si="52"/>
        <v>30520</v>
      </c>
      <c r="AK38" s="278">
        <f t="shared" si="52"/>
        <v>30520</v>
      </c>
      <c r="AL38" s="277">
        <f t="shared" si="52"/>
        <v>30520</v>
      </c>
      <c r="AM38" s="278">
        <f t="shared" si="52"/>
        <v>30520</v>
      </c>
      <c r="AN38" s="277">
        <f t="shared" si="52"/>
        <v>30520</v>
      </c>
      <c r="AO38" s="278">
        <f t="shared" si="52"/>
        <v>30520</v>
      </c>
      <c r="AP38" s="277">
        <f t="shared" si="52"/>
        <v>30520</v>
      </c>
      <c r="AQ38" s="278">
        <f t="shared" si="52"/>
        <v>30520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1257200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28320</v>
      </c>
      <c r="O39" s="1785">
        <f>SUM(O38:Q38)</f>
        <v>84960</v>
      </c>
      <c r="P39" s="1786"/>
      <c r="Q39" s="1787"/>
      <c r="R39" s="1788">
        <f>SUM(R38:S38)</f>
        <v>61040</v>
      </c>
      <c r="S39" s="1789"/>
      <c r="T39" s="1785">
        <f>SUM(T38:U38)</f>
        <v>61040</v>
      </c>
      <c r="U39" s="1787"/>
      <c r="V39" s="1788">
        <f>SUM(V38:AS38)</f>
        <v>662640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1077600</v>
      </c>
      <c r="BR39" s="141"/>
      <c r="BS39" s="284" t="s">
        <v>2031</v>
      </c>
      <c r="BT39" s="285">
        <f>BP37-BP36</f>
        <v>898000</v>
      </c>
      <c r="BU39" s="286">
        <f>(BT39-BQ34)/BT39</f>
        <v>1</v>
      </c>
      <c r="BV39" s="285">
        <f>BT39/BU34</f>
        <v>106.39810426540285</v>
      </c>
    </row>
    <row r="40" spans="1:94" s="140" customFormat="1" ht="14.4" thickBot="1" x14ac:dyDescent="0.3">
      <c r="A40" s="141"/>
      <c r="B40" s="262"/>
      <c r="C40" s="262"/>
      <c r="D40" s="262"/>
      <c r="E40" s="262"/>
      <c r="F40" s="262"/>
      <c r="J40" s="287" t="s">
        <v>2032</v>
      </c>
      <c r="K40" s="147"/>
      <c r="N40" s="1791">
        <f>SUM(N38:Q38)</f>
        <v>113280</v>
      </c>
      <c r="O40" s="1792"/>
      <c r="P40" s="1792"/>
      <c r="Q40" s="1792"/>
      <c r="R40" s="1793">
        <f>SUM(R38:U38)</f>
        <v>122080</v>
      </c>
      <c r="S40" s="1794"/>
      <c r="T40" s="1794"/>
      <c r="U40" s="1794"/>
      <c r="V40" s="1791">
        <f>SUM(V38:BE38)</f>
        <v>662640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1167400</v>
      </c>
      <c r="BR40" s="141"/>
      <c r="BS40" s="289" t="s">
        <v>2034</v>
      </c>
      <c r="BT40" s="290">
        <f>BT34-BT36</f>
        <v>898000</v>
      </c>
      <c r="BU40" s="291">
        <f>(BT40-BQ34)/BT40</f>
        <v>1</v>
      </c>
      <c r="BV40" s="290">
        <f>BT40/BU34</f>
        <v>106.39810426540285</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898000</v>
      </c>
      <c r="BQ42" s="294" t="s">
        <v>2039</v>
      </c>
      <c r="BR42" s="141"/>
    </row>
    <row r="43" spans="1:94" x14ac:dyDescent="0.25">
      <c r="J43" s="273" t="s">
        <v>180</v>
      </c>
      <c r="N43" s="274">
        <f t="shared" ref="N43:AS43" si="54">SUMPRODUCT(N16:N33,$BS$16:$BS$33)*40*1.2</f>
        <v>33984</v>
      </c>
      <c r="O43" s="278">
        <f t="shared" si="54"/>
        <v>33984</v>
      </c>
      <c r="P43" s="276">
        <f t="shared" si="54"/>
        <v>33984</v>
      </c>
      <c r="Q43" s="277">
        <f t="shared" si="54"/>
        <v>33984</v>
      </c>
      <c r="R43" s="278">
        <f t="shared" si="54"/>
        <v>36624</v>
      </c>
      <c r="S43" s="277">
        <f t="shared" si="54"/>
        <v>36624</v>
      </c>
      <c r="T43" s="278">
        <f t="shared" si="54"/>
        <v>36624</v>
      </c>
      <c r="U43" s="277">
        <f t="shared" si="54"/>
        <v>36624</v>
      </c>
      <c r="V43" s="278">
        <f t="shared" si="54"/>
        <v>36624</v>
      </c>
      <c r="W43" s="277">
        <f t="shared" si="54"/>
        <v>36624</v>
      </c>
      <c r="X43" s="278">
        <f t="shared" si="54"/>
        <v>36624</v>
      </c>
      <c r="Y43" s="277">
        <f t="shared" si="54"/>
        <v>36624</v>
      </c>
      <c r="Z43" s="278">
        <f t="shared" si="54"/>
        <v>36624</v>
      </c>
      <c r="AA43" s="277">
        <f t="shared" si="54"/>
        <v>33984</v>
      </c>
      <c r="AB43" s="278">
        <f t="shared" si="54"/>
        <v>33984</v>
      </c>
      <c r="AC43" s="277">
        <f t="shared" si="54"/>
        <v>33984</v>
      </c>
      <c r="AD43" s="278">
        <f t="shared" si="54"/>
        <v>33984</v>
      </c>
      <c r="AE43" s="277">
        <f t="shared" si="54"/>
        <v>36624</v>
      </c>
      <c r="AF43" s="278">
        <f t="shared" si="54"/>
        <v>36624</v>
      </c>
      <c r="AG43" s="277">
        <f t="shared" si="54"/>
        <v>36624</v>
      </c>
      <c r="AH43" s="277">
        <f t="shared" si="54"/>
        <v>36624</v>
      </c>
      <c r="AI43" s="278">
        <f t="shared" si="54"/>
        <v>36624</v>
      </c>
      <c r="AJ43" s="277">
        <f t="shared" si="54"/>
        <v>36624</v>
      </c>
      <c r="AK43" s="278">
        <f t="shared" si="54"/>
        <v>36624</v>
      </c>
      <c r="AL43" s="277">
        <f t="shared" si="54"/>
        <v>36624</v>
      </c>
      <c r="AM43" s="278">
        <f t="shared" si="54"/>
        <v>36624</v>
      </c>
      <c r="AN43" s="277">
        <f t="shared" si="54"/>
        <v>36624</v>
      </c>
      <c r="AO43" s="278">
        <f t="shared" si="54"/>
        <v>36624</v>
      </c>
      <c r="AP43" s="277">
        <f t="shared" si="54"/>
        <v>36624</v>
      </c>
      <c r="AQ43" s="278">
        <f t="shared" si="54"/>
        <v>36624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4" thickBot="1" x14ac:dyDescent="0.3">
      <c r="J44" s="273" t="s">
        <v>2029</v>
      </c>
      <c r="N44" s="282">
        <f>SUM(N43)</f>
        <v>33984</v>
      </c>
      <c r="O44" s="1785">
        <f>SUM(O43:Q43)</f>
        <v>101952</v>
      </c>
      <c r="P44" s="1786"/>
      <c r="Q44" s="1787"/>
      <c r="R44" s="1788">
        <f>SUM(R43:S43)</f>
        <v>73248</v>
      </c>
      <c r="S44" s="1789"/>
      <c r="T44" s="1785">
        <f>SUM(T43:U43)</f>
        <v>73248</v>
      </c>
      <c r="U44" s="1787"/>
      <c r="V44" s="1788">
        <f>SUM(V43:AS43)</f>
        <v>795168</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1077600</v>
      </c>
      <c r="BU44" s="286">
        <f>(BT44-BQ34)/BT44</f>
        <v>1</v>
      </c>
      <c r="BV44" s="285">
        <f>BT44/BU34</f>
        <v>127.67772511848341</v>
      </c>
    </row>
    <row r="45" spans="1:94" ht="14.4" thickBot="1" x14ac:dyDescent="0.3">
      <c r="J45" s="287" t="s">
        <v>2032</v>
      </c>
      <c r="N45" s="1805">
        <f>SUM(N43:Q43)</f>
        <v>135936</v>
      </c>
      <c r="O45" s="1806"/>
      <c r="P45" s="1806"/>
      <c r="Q45" s="1807"/>
      <c r="R45" s="1818">
        <f t="shared" ref="R45" si="56">SUM(R43:U43)</f>
        <v>146496</v>
      </c>
      <c r="S45" s="1819"/>
      <c r="T45" s="1819"/>
      <c r="U45" s="1820"/>
      <c r="V45" s="1805">
        <f t="shared" ref="V45" si="57">SUM(V43:BE43)</f>
        <v>795168</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1077600</v>
      </c>
      <c r="BU45" s="291">
        <f>(BT45-BQ34)/BT45</f>
        <v>1</v>
      </c>
      <c r="BV45" s="290">
        <f>BT45/BU34</f>
        <v>127.67772511848341</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36816</v>
      </c>
      <c r="O48" s="278">
        <f t="shared" si="60"/>
        <v>36816</v>
      </c>
      <c r="P48" s="276">
        <f t="shared" si="60"/>
        <v>36816</v>
      </c>
      <c r="Q48" s="277">
        <f t="shared" si="60"/>
        <v>36816</v>
      </c>
      <c r="R48" s="278">
        <f t="shared" si="60"/>
        <v>39676</v>
      </c>
      <c r="S48" s="277">
        <f t="shared" si="60"/>
        <v>39676</v>
      </c>
      <c r="T48" s="278">
        <f t="shared" si="60"/>
        <v>39676</v>
      </c>
      <c r="U48" s="277">
        <f t="shared" si="60"/>
        <v>39676</v>
      </c>
      <c r="V48" s="278">
        <f t="shared" si="60"/>
        <v>39676</v>
      </c>
      <c r="W48" s="277">
        <f t="shared" si="60"/>
        <v>39676</v>
      </c>
      <c r="X48" s="278">
        <f t="shared" si="60"/>
        <v>39676</v>
      </c>
      <c r="Y48" s="277">
        <f t="shared" si="60"/>
        <v>39676</v>
      </c>
      <c r="Z48" s="278">
        <f t="shared" si="60"/>
        <v>39676</v>
      </c>
      <c r="AA48" s="277">
        <f t="shared" si="60"/>
        <v>36816</v>
      </c>
      <c r="AB48" s="278">
        <f t="shared" si="60"/>
        <v>36816</v>
      </c>
      <c r="AC48" s="277">
        <f t="shared" si="60"/>
        <v>36816</v>
      </c>
      <c r="AD48" s="278">
        <f t="shared" si="60"/>
        <v>36816</v>
      </c>
      <c r="AE48" s="277">
        <f t="shared" si="60"/>
        <v>39676</v>
      </c>
      <c r="AF48" s="278">
        <f t="shared" si="60"/>
        <v>39676</v>
      </c>
      <c r="AG48" s="277">
        <f t="shared" si="60"/>
        <v>39676</v>
      </c>
      <c r="AH48" s="277">
        <f t="shared" si="60"/>
        <v>39676</v>
      </c>
      <c r="AI48" s="278">
        <f t="shared" si="60"/>
        <v>39676</v>
      </c>
      <c r="AJ48" s="277">
        <f t="shared" si="60"/>
        <v>39676</v>
      </c>
      <c r="AK48" s="278">
        <f t="shared" si="60"/>
        <v>39676</v>
      </c>
      <c r="AL48" s="277">
        <f t="shared" si="60"/>
        <v>39676</v>
      </c>
      <c r="AM48" s="278">
        <f t="shared" si="60"/>
        <v>39676</v>
      </c>
      <c r="AN48" s="277">
        <f t="shared" si="60"/>
        <v>39676</v>
      </c>
      <c r="AO48" s="278">
        <f t="shared" si="60"/>
        <v>39676</v>
      </c>
      <c r="AP48" s="277">
        <f t="shared" si="60"/>
        <v>39676</v>
      </c>
      <c r="AQ48" s="278">
        <f t="shared" si="60"/>
        <v>39676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36816</v>
      </c>
      <c r="O49" s="1785">
        <f>SUM(O48:Q48)</f>
        <v>110448</v>
      </c>
      <c r="P49" s="1786"/>
      <c r="Q49" s="1787"/>
      <c r="R49" s="1788">
        <f>SUM(R48:S48)</f>
        <v>79352</v>
      </c>
      <c r="S49" s="1789"/>
      <c r="T49" s="1785">
        <f>SUM(T48:U48)</f>
        <v>79352</v>
      </c>
      <c r="U49" s="1787"/>
      <c r="V49" s="1788">
        <f>SUM(V48:AS48)</f>
        <v>861432</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4" thickBot="1" x14ac:dyDescent="0.3">
      <c r="J50" s="287" t="s">
        <v>2032</v>
      </c>
      <c r="N50" s="1805">
        <f>SUM(N48:Q48)</f>
        <v>147264</v>
      </c>
      <c r="O50" s="1806"/>
      <c r="P50" s="1806"/>
      <c r="Q50" s="1807"/>
      <c r="R50" s="1818">
        <f>SUM(R48:U48)</f>
        <v>158704</v>
      </c>
      <c r="S50" s="1819"/>
      <c r="T50" s="1819"/>
      <c r="U50" s="1820"/>
      <c r="V50" s="1805">
        <f t="shared" ref="V50" si="62">SUM(V48:BE48)</f>
        <v>861432</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4" thickBot="1" x14ac:dyDescent="0.3">
      <c r="BN51" s="1814" t="s">
        <v>2047</v>
      </c>
      <c r="BO51" s="1815"/>
      <c r="BP51" s="863">
        <f>'4. Summary &amp; Totals'!C36</f>
        <v>997395</v>
      </c>
    </row>
    <row r="52" spans="1:68" x14ac:dyDescent="0.25">
      <c r="J52" s="304" t="s">
        <v>2048</v>
      </c>
      <c r="K52" s="305">
        <f>+BP34/BO34/8</f>
        <v>106.39810426540285</v>
      </c>
    </row>
    <row r="53" spans="1:68" x14ac:dyDescent="0.25">
      <c r="J53" s="306" t="s">
        <v>2049</v>
      </c>
      <c r="K53" s="307">
        <f>+BP39/BO34/8</f>
        <v>127.67772511848341</v>
      </c>
    </row>
    <row r="54" spans="1:68" ht="14.4" thickBot="1" x14ac:dyDescent="0.3">
      <c r="J54" s="308" t="s">
        <v>2050</v>
      </c>
      <c r="K54" s="309">
        <f>+BP40/BO34/8</f>
        <v>138.3175355450237</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898000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898000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0.56022271714922045</v>
      </c>
      <c r="C52" s="938">
        <v>0.47</v>
      </c>
      <c r="D52" s="939">
        <f>B52-C52</f>
        <v>9.0222717149220477E-2</v>
      </c>
      <c r="E52" s="940">
        <f>'2. Roles &amp; Pricing'!D289/'2. Roles &amp; Pricing'!M289</f>
        <v>106.39810426540285</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1498166.6666666667</v>
      </c>
      <c r="D56" s="1231">
        <f>('4. Summary &amp; Totals'!$C$67)/(1-D55)+'4. Summary &amp; Totals'!$C$68</f>
        <v>1576938.5964912279</v>
      </c>
      <c r="E56" s="1231">
        <f>('4. Summary &amp; Totals'!$C$67)/(1-E55)+'4. Summary &amp; Totals'!$C$68</f>
        <v>1634227.2727272727</v>
      </c>
      <c r="F56" s="1231">
        <f>('4. Summary &amp; Totals'!$C$67)/(1-F55)+'4. Summary &amp; Totals'!$C$68</f>
        <v>1797500</v>
      </c>
      <c r="G56" s="1231">
        <f>('4. Summary &amp; Totals'!$C$67)/(1-G55)+'4. Summary &amp; Totals'!$C$68</f>
        <v>1997055.5555555557</v>
      </c>
      <c r="H56" s="1231" t="str">
        <f>IF(H55="Enter Test Margin %","",('4. Summary &amp; Totals'!$C$67)/(1-H55)+'4. Summary &amp; Totals'!$C$68)</f>
        <v/>
      </c>
      <c r="I56" s="1232" t="s">
        <v>3685</v>
      </c>
    </row>
    <row r="57" spans="2:9" x14ac:dyDescent="0.25">
      <c r="B57" s="945" t="s">
        <v>225</v>
      </c>
      <c r="C57" s="1233">
        <f>IFERROR(ROUNDUP((C56/'2. Roles &amp; Pricing'!$M$289),0),"")</f>
        <v>178</v>
      </c>
      <c r="D57" s="1233">
        <f>ROUNDUP(IFERROR(D56/'2. Roles &amp; Pricing'!$M$289,""),0)</f>
        <v>187</v>
      </c>
      <c r="E57" s="1233">
        <f>ROUNDUP(IFERROR(E56/'2. Roles &amp; Pricing'!$M$289,""),0)</f>
        <v>194</v>
      </c>
      <c r="F57" s="1233">
        <f>ROUNDUP(IFERROR(F56/'2. Roles &amp; Pricing'!$M$289,""),0)</f>
        <v>213</v>
      </c>
      <c r="G57" s="1233">
        <f>ROUNDUP(IFERROR(G56/'2. Roles &amp; Pricing'!$M$289,""),0)</f>
        <v>237</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898000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 beta</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997395</v>
      </c>
      <c r="D36" s="413"/>
      <c r="E36" s="594"/>
      <c r="F36" s="594"/>
      <c r="G36" s="413"/>
      <c r="S36" s="581"/>
      <c r="T36" s="596"/>
    </row>
    <row r="37" spans="2:20" x14ac:dyDescent="0.25">
      <c r="B37" s="963" t="s">
        <v>3227</v>
      </c>
      <c r="C37" s="1408">
        <f>C53</f>
        <v>0.58280428841706955</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997395</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0.58280428841706955</v>
      </c>
      <c r="E53" s="413"/>
      <c r="J53" s="495"/>
      <c r="K53" s="601"/>
      <c r="L53" s="496"/>
    </row>
    <row r="54" spans="2:20" x14ac:dyDescent="0.25">
      <c r="B54" s="867" t="s">
        <v>111</v>
      </c>
      <c r="C54" s="1413">
        <f>IFERROR('2. Roles &amp; Pricing'!$D$289/'2. Roles &amp; Pricing'!M289,"")</f>
        <v>106.39810426540285</v>
      </c>
      <c r="E54" s="413"/>
      <c r="J54" s="495"/>
      <c r="K54" s="601"/>
      <c r="L54" s="496"/>
    </row>
    <row r="55" spans="2:20" x14ac:dyDescent="0.25">
      <c r="B55" s="1239" t="s">
        <v>2093</v>
      </c>
      <c r="C55" s="1414">
        <f>IFERROR(($C$71+$C$67*(1+C56)),"Enter Contingency % on Summary Inputs")</f>
        <v>949900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949900</v>
      </c>
      <c r="E60" s="484"/>
      <c r="J60" s="495"/>
      <c r="K60" s="601"/>
      <c r="L60" s="496"/>
      <c r="T60" s="605"/>
    </row>
    <row r="61" spans="2:20" x14ac:dyDescent="0.25">
      <c r="B61" s="1238" t="s">
        <v>2081</v>
      </c>
      <c r="C61" s="1540">
        <f>IFERROR(C60*(1+C56),"Incomplete Project Information")</f>
        <v>997395</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898000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44900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951400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394920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396920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57.851239669421489</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0.625</v>
      </c>
      <c r="E87" s="429"/>
      <c r="L87" s="412"/>
    </row>
    <row r="88" spans="2:12" x14ac:dyDescent="0.25">
      <c r="B88" s="1149" t="s">
        <v>111</v>
      </c>
      <c r="C88" s="1422">
        <f>IFERROR('2. Roles &amp; Pricing'!D289/'2. Roles &amp; Pricing'!M289,"")</f>
        <v>106.39810426540285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8440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898000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Green Dot Marketing 2025 beta</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45916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997395</v>
      </c>
      <c r="D26" s="1897"/>
      <c r="E26" s="1897"/>
      <c r="F26" s="1897"/>
      <c r="G26" s="1897"/>
      <c r="H26" s="1898"/>
      <c r="I26" s="1601"/>
      <c r="J26" s="1894"/>
      <c r="K26" s="1894"/>
      <c r="L26" s="1895"/>
    </row>
    <row r="27" spans="2:19" ht="19.95" customHeight="1" x14ac:dyDescent="0.25">
      <c r="B27" s="999" t="s">
        <v>1673</v>
      </c>
      <c r="C27" s="1899">
        <f>'4. Summary &amp; Totals'!C37</f>
        <v>0.58280428841706955</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106.39810426540285</v>
      </c>
      <c r="D30" s="1909"/>
      <c r="E30" s="1909"/>
      <c r="F30" s="1910"/>
      <c r="G30" s="1912">
        <f>'2. Roles &amp; Pricing'!F289/'2. Roles &amp; Pricing'!M289</f>
        <v>46.791469194312796</v>
      </c>
      <c r="H30" s="1913"/>
      <c r="I30" s="1599" t="str">
        <f>IF(OR(C30="",E30=""),"MISSING INFO","")</f>
        <v>MISSING INFO</v>
      </c>
      <c r="J30" s="1882"/>
      <c r="K30" s="1882"/>
      <c r="L30" s="1883"/>
    </row>
    <row r="31" spans="2:19" ht="19.95" customHeight="1" x14ac:dyDescent="0.25">
      <c r="B31" s="999" t="s">
        <v>1898</v>
      </c>
      <c r="C31" s="1908">
        <f>'4. Summary &amp; Totals'!C86</f>
        <v>171.66666666666666</v>
      </c>
      <c r="D31" s="1909"/>
      <c r="E31" s="1909"/>
      <c r="F31" s="1910"/>
      <c r="G31" s="1912">
        <f>SUMIFS('2. Roles &amp; Pricing'!$F$291:$F$390,'2. Roles &amp; Pricing'!$W$48:$W$147,"Onshore")/SUMIFS('2. Roles &amp; Pricing'!$M$291:$M$390,'2. Roles &amp; Pricing'!$W$48:$W$147,"Onshore")</f>
        <v>81.666666666666671</v>
      </c>
      <c r="H31" s="1913"/>
      <c r="I31" s="1599" t="str">
        <f>IF(OR(C31="",E31=""),"MISSING INFO","")</f>
        <v>MISSING INFO</v>
      </c>
      <c r="J31" s="1882"/>
      <c r="K31" s="1882"/>
      <c r="L31" s="1883"/>
    </row>
    <row r="32" spans="2:19" ht="19.95" customHeight="1" x14ac:dyDescent="0.25">
      <c r="B32" s="1000" t="s">
        <v>1899</v>
      </c>
      <c r="C32" s="1996">
        <f>'4. Summary &amp; Totals'!C85</f>
        <v>57.851239669421489</v>
      </c>
      <c r="D32" s="1997"/>
      <c r="E32" s="1997"/>
      <c r="F32" s="1998"/>
      <c r="G32" s="1994">
        <f>IFERROR(SUMIFS('2. Roles &amp; Pricing'!$F$291:$F$390,'2. Roles &amp; Pricing'!$W$48:$W$147,"Offshore")/SUMIFS('2. Roles &amp; Pricing'!$M$291:$M$390,'2. Roles &amp; Pricing'!$W$48:$W$147,"Offshore"),"")</f>
        <v>20.851239669421489</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T&amp;M</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8</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Green Dot Marketing 2025 beta</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45916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T&amp;M</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9"/>
      <c r="B1" s="2059"/>
      <c r="C1" s="2059"/>
      <c r="D1" s="134"/>
      <c r="E1" s="134"/>
      <c r="F1" s="134"/>
      <c r="G1" s="134"/>
    </row>
    <row r="2" spans="1:9" ht="14.25" customHeight="1" x14ac:dyDescent="0.25">
      <c r="A2" s="2059"/>
      <c r="B2" s="2059"/>
      <c r="C2" s="2059"/>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5"/>
      <c r="D10" s="2055"/>
      <c r="E10" s="2052"/>
      <c r="F10" s="103"/>
      <c r="H10" s="2050"/>
      <c r="I10" s="2050"/>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3" t="s">
        <v>1282</v>
      </c>
      <c r="C39" s="2054"/>
      <c r="D39" s="2054"/>
      <c r="E39" s="2054"/>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6" t="s">
        <v>1290</v>
      </c>
      <c r="C64" s="2057"/>
      <c r="D64" s="2058"/>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2025-08-26T08:09:11Z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