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katie.stevenson1\Downloads\"/>
    </mc:Choice>
  </mc:AlternateContent>
  <xr:revisionPtr revIDLastSave="0" documentId="13_ncr:1_{AEE5F8CB-27A2-4D74-B46C-D1A14726035E}" xr6:coauthVersionLast="47" xr6:coauthVersionMax="47" xr10:uidLastSave="{00000000-0000-0000-0000-000000000000}"/>
  <bookViews>
    <workbookView xWindow="-80" yWindow="-80" windowWidth="19360" windowHeight="11440" firstSheet="3" activeTab="7"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28" l="1"/>
  <c r="H5"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2"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6" i="28" s="1"/>
  <c r="K171" i="13"/>
  <c r="P16" i="28" s="1"/>
  <c r="L171" i="13"/>
  <c r="Q16" i="28" s="1"/>
  <c r="Z171" i="13"/>
  <c r="AB171" i="13"/>
  <c r="F171" i="13"/>
  <c r="N16" i="28" s="1"/>
  <c r="AA171" i="13"/>
  <c r="F170" i="13"/>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1"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N60" i="13" a="1"/>
  <c r="N60" i="13" s="1"/>
  <c r="N73" i="13" a="1"/>
  <c r="N73" i="13" s="1"/>
  <c r="N84" i="13" a="1"/>
  <c r="N84" i="13" s="1"/>
  <c r="N97" i="13" a="1"/>
  <c r="N97" i="13" s="1"/>
  <c r="N108" i="13" a="1"/>
  <c r="N108" i="13" s="1"/>
  <c r="N120" i="13" a="1"/>
  <c r="N120" i="13" s="1"/>
  <c r="N134" i="13" a="1"/>
  <c r="N134" i="13" s="1"/>
  <c r="N146" i="13" a="1"/>
  <c r="N146" i="13" s="1"/>
  <c r="I303" i="13" a="1"/>
  <c r="I303" i="13" s="1"/>
  <c r="BS27"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2"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4"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6"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3"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5"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29"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1"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0" i="28" s="1"/>
  <c r="I333" i="13" a="1"/>
  <c r="I333" i="13" s="1"/>
  <c r="I361" i="13" a="1"/>
  <c r="I361" i="13" s="1"/>
  <c r="N112" i="13" a="1"/>
  <c r="N112" i="13" s="1"/>
  <c r="N138" i="13" a="1"/>
  <c r="N138" i="13" s="1"/>
  <c r="I308" i="13" a="1"/>
  <c r="I308" i="13" s="1"/>
  <c r="BS32" i="28" s="1"/>
  <c r="I335" i="13" a="1"/>
  <c r="I335" i="13" s="1"/>
  <c r="I363" i="13" a="1"/>
  <c r="I363" i="13" s="1"/>
  <c r="I291" i="13" a="1"/>
  <c r="I291" i="13" s="1"/>
  <c r="BS15" i="28" s="1"/>
  <c r="K306" i="13" a="1"/>
  <c r="K306" i="13" s="1"/>
  <c r="K339" i="13" a="1"/>
  <c r="K339" i="13" s="1"/>
  <c r="K355" i="13" a="1"/>
  <c r="K355" i="13" s="1"/>
  <c r="N76" i="13" a="1"/>
  <c r="N76" i="13" s="1"/>
  <c r="N101" i="13" a="1"/>
  <c r="N101" i="13" s="1"/>
  <c r="N124" i="13" a="1"/>
  <c r="N124" i="13" s="1"/>
  <c r="I293" i="13" a="1"/>
  <c r="I293" i="13" s="1"/>
  <c r="BS17"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8"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6"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N77" i="13" a="1"/>
  <c r="N77" i="13" s="1"/>
  <c r="I294" i="13" a="1"/>
  <c r="I294" i="13" s="1"/>
  <c r="BS18" i="28" s="1"/>
  <c r="I321" i="13" a="1"/>
  <c r="I321" i="13" s="1"/>
  <c r="I377" i="13" a="1"/>
  <c r="I377" i="13" s="1"/>
  <c r="K330" i="13" a="1"/>
  <c r="K330" i="13" s="1"/>
  <c r="K378" i="13" a="1"/>
  <c r="K378" i="13" s="1"/>
  <c r="N54" i="13" a="1"/>
  <c r="N54" i="13" s="1"/>
  <c r="I296" i="13" a="1"/>
  <c r="I296" i="13" s="1"/>
  <c r="BS20"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19"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19"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7" i="28" s="1"/>
  <c r="O371" i="13"/>
  <c r="N371" i="13"/>
  <c r="AB128" i="13"/>
  <c r="N349" i="13"/>
  <c r="O349" i="13"/>
  <c r="AB106" i="13"/>
  <c r="N304" i="13"/>
  <c r="M304" i="13"/>
  <c r="F304" i="13" s="1" a="1"/>
  <c r="F304" i="13" s="1"/>
  <c r="BQ28" i="28"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Q30" i="28"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BQ31"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3" i="28" s="1"/>
  <c r="N309" i="13"/>
  <c r="N360" i="13"/>
  <c r="O360" i="13"/>
  <c r="AB117" i="13"/>
  <c r="N293" i="13"/>
  <c r="M293" i="13"/>
  <c r="F293" i="13" s="1" a="1"/>
  <c r="F293" i="13" s="1"/>
  <c r="BQ17"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2" i="28" s="1"/>
  <c r="N308" i="13"/>
  <c r="Z15" i="28"/>
  <c r="N292" i="13"/>
  <c r="M292" i="13"/>
  <c r="F292" i="13" s="1" a="1"/>
  <c r="F292" i="13" s="1"/>
  <c r="BQ16"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6" i="28" s="1"/>
  <c r="N302" i="13"/>
  <c r="N364" i="13"/>
  <c r="O364" i="13"/>
  <c r="AB121" i="13"/>
  <c r="N363" i="13"/>
  <c r="O363" i="13"/>
  <c r="AB120" i="13"/>
  <c r="N299" i="13"/>
  <c r="M299" i="13"/>
  <c r="F299" i="13" s="1" a="1"/>
  <c r="F299" i="13" s="1"/>
  <c r="BQ23" i="28" s="1"/>
  <c r="O389" i="13"/>
  <c r="N389" i="13"/>
  <c r="AB146" i="13"/>
  <c r="O359" i="13"/>
  <c r="N359" i="13"/>
  <c r="AB116" i="13"/>
  <c r="M298" i="13"/>
  <c r="F298" i="13" s="1" a="1"/>
  <c r="F298" i="13" s="1"/>
  <c r="BQ22" i="28" s="1"/>
  <c r="N298" i="13"/>
  <c r="N311" i="13"/>
  <c r="M311" i="13"/>
  <c r="F311" i="13" s="1" a="1"/>
  <c r="F311" i="13" s="1"/>
  <c r="M301" i="13"/>
  <c r="F301" i="13" s="1" a="1"/>
  <c r="F301" i="13" s="1"/>
  <c r="BQ25"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29" i="28" s="1"/>
  <c r="N337" i="13"/>
  <c r="M337" i="13"/>
  <c r="F337" i="13" s="1" a="1"/>
  <c r="F337" i="13" s="1"/>
  <c r="N300" i="13"/>
  <c r="M300" i="13"/>
  <c r="F300" i="13" s="1" a="1"/>
  <c r="F300" i="13" s="1"/>
  <c r="BQ24" i="28" s="1"/>
  <c r="N297" i="13"/>
  <c r="M297" i="13"/>
  <c r="N379" i="13"/>
  <c r="O379" i="13"/>
  <c r="AB136" i="13"/>
  <c r="O357" i="13"/>
  <c r="N357" i="13"/>
  <c r="AB114" i="13"/>
  <c r="N374" i="13"/>
  <c r="O374" i="13"/>
  <c r="AB131" i="13"/>
  <c r="N332" i="13"/>
  <c r="M332" i="13"/>
  <c r="F332" i="13" s="1" a="1"/>
  <c r="F332" i="13" s="1"/>
  <c r="F297" i="13" l="1" a="1"/>
  <c r="F297" i="13" s="1"/>
  <c r="BQ21" i="28" s="1"/>
  <c r="C114" i="10"/>
  <c r="BN15" i="28"/>
  <c r="F291" i="13" a="1"/>
  <c r="F291" i="13" s="1"/>
  <c r="BQ15" i="28" s="1"/>
  <c r="C111" i="10"/>
  <c r="F296" i="13" a="1"/>
  <c r="F296" i="13" s="1"/>
  <c r="BQ20" i="28" s="1"/>
  <c r="C109" i="10"/>
  <c r="C103" i="10"/>
  <c r="F294" i="13" a="1"/>
  <c r="F294" i="13" s="1"/>
  <c r="BQ18"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BT35" i="28"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P50" i="28"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<sst xmlns="http://schemas.openxmlformats.org/spreadsheetml/2006/main" count="22827" uniqueCount="3692">
  <si>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</si>
  <si>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</si>
  <si>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</si>
  <si>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</si>
  <si>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</si>
  <si>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</si>
  <si>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</si>
  <si>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</si>
  <si>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</si>
  <si>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</si>
  <si>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</si>
  <si>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</si>
  <si>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</si>
  <si>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</si>
  <si>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</si>
  <si>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</si>
  <si>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</si>
  <si>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</si>
  <si>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</si>
  <si>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</si>
  <si>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</si>
  <si>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</si>
  <si>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</si>
  <si>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</si>
  <si>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</si>
  <si>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</si>
  <si>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</si>
  <si>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</si>
  <si>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</si>
  <si>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</si>
  <si>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</si>
  <si>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</si>
  <si>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</si>
  <si>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</si>
  <si>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</si>
  <si>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</si>
  <si>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</si>
  <si>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</si>
  <si>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</si>
  <si>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</si>
  <si>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</si>
  <si>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</si>
  <si>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</si>
  <si>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</si>
  <si>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</si>
  <si>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</si>
  <si>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</si>
  <si>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</si>
  <si>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</si>
  <si>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</si>
  <si>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</si>
  <si>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</si>
  <si>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</si>
  <si>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</si>
  <si>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</si>
  <si>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</si>
  <si>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</si>
  <si>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</si>
  <si>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</si>
  <si>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</si>
  <si>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</si>
  <si>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</si>
  <si>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</si>
  <si>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</si>
  <si>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</si>
  <si>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</si>
  <si>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</si>
  <si>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</si>
  <si>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</si>
  <si>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</si>
  <si>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</si>
  <si>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</si>
  <si>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</si>
  <si>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</si>
  <si>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</si>
  <si>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</si>
  <si>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</si>
  <si>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</si>
  <si>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</si>
  <si>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</si>
  <si>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</si>
  <si>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</si>
  <si>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</si>
  <si>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</si>
  <si>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</si>
  <si>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</si>
  <si>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</si>
  <si>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</si>
  <si>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</si>
  <si>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</si>
  <si>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</si>
  <si>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</si>
  <si>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</si>
  <si>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</si>
  <si>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</si>
  <si>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</si>
  <si>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</si>
  <si>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</si>
  <si>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</si>
  <si>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</si>
  <si>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</si>
  <si>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</si>
  <si>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</si>
  <si>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</si>
  <si>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</si>
  <si>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</si>
  <si>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</si>
  <si>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</si>
  <si>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</si>
  <si>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</si>
  <si>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</si>
  <si>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</si>
  <si>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</si>
  <si>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</si>
  <si>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</si>
  <si>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</si>
  <si>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</si>
  <si>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</si>
  <si>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</si>
  <si>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</si>
  <si>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</si>
  <si>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</si>
  <si>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</si>
  <si>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</si>
  <si>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</si>
  <si>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</si>
  <si>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</si>
  <si>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</si>
  <si>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</si>
  <si>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</si>
  <si>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</si>
  <si>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</si>
  <si>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</si>
  <si>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</si>
  <si>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</si>
  <si>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</si>
  <si>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</si>
  <si>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</si>
  <si>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</si>
  <si>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</si>
  <si>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</si>
  <si>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</si>
  <si>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</si>
  <si>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</si>
  <si>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</si>
  <si>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</si>
  <si>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</si>
  <si>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</si>
  <si>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</si>
  <si>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</si>
  <si>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</si>
  <si>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</si>
  <si>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</si>
  <si>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</si>
  <si>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</si>
  <si>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</si>
  <si>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</si>
  <si>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</si>
  <si>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</si>
  <si>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</si>
  <si>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</si>
  <si>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</si>
  <si>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</si>
  <si>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</si>
  <si>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</si>
  <si>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</si>
  <si>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</si>
  <si>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</si>
  <si>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</si>
  <si>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</si>
  <si>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</si>
  <si>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</si>
  <si>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</si>
  <si>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</si>
  <si>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</si>
  <si>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</si>
  <si>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</si>
  <si>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</si>
  <si>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</si>
  <si>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</si>
  <si>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</si>
  <si>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</si>
  <si>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</si>
  <si>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</si>
  <si>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</si>
  <si>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</si>
  <si>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</si>
  <si>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</si>
  <si>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</si>
  <si>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</si>
  <si>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</si>
  <si>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</si>
  <si>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</si>
  <si>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</si>
  <si>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</si>
  <si>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</si>
  <si>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</si>
  <si>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</si>
  <si>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</si>
  <si>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</si>
  <si>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</si>
  <si>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</si>
  <si>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</si>
  <si>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</si>
  <si>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</si>
  <si>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</si>
  <si>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</si>
  <si>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</si>
  <si>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</si>
  <si>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</si>
  <si>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</si>
  <si>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</si>
  <si>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</si>
  <si>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</si>
  <si>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</si>
  <si>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</si>
  <si>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</si>
  <si>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</si>
  <si>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</si>
  <si>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</si>
  <si>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</si>
  <si>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</si>
  <si>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</si>
  <si>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</si>
  <si>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</si>
  <si>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</si>
  <si>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</si>
  <si>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</si>
  <si>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</si>
  <si>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</si>
  <si>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</si>
  <si>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</si>
  <si>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</si>
  <si>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</si>
  <si>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</si>
  <si>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</si>
  <si>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</si>
  <si>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</si>
  <si>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</si>
  <si>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</si>
  <si>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</si>
  <si>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</si>
  <si>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</si>
  <si>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</si>
  <si>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</si>
  <si>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</si>
  <si>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</si>
  <si>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</si>
  <si>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</si>
  <si>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</si>
  <si>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</si>
  <si>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</si>
  <si>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</si>
  <si>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</si>
  <si>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</si>
  <si>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</si>
  <si>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</si>
  <si>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</si>
  <si>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</si>
  <si>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</si>
  <si>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</si>
  <si>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</si>
  <si>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</si>
  <si>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</si>
  <si>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</si>
  <si>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</si>
  <si>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</si>
  <si>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</si>
  <si>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</si>
  <si>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</si>
  <si>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</si>
  <si>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</si>
  <si>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</si>
  <si>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</si>
  <si>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</si>
  <si>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</si>
  <si>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</si>
  <si>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</si>
  <si>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</si>
  <si>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</si>
  <si>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</si>
  <si>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</si>
  <si>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</si>
  <si>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</si>
  <si>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</si>
  <si>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</si>
  <si>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</si>
  <si>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</si>
  <si>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</si>
  <si>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</si>
  <si>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</si>
  <si>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</si>
  <si>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</si>
  <si>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</si>
  <si>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</si>
  <si>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</si>
  <si>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</si>
  <si>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</si>
  <si>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</si>
  <si>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</si>
  <si>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</si>
  <si>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</si>
  <si>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</si>
  <si>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</si>
  <si>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</si>
  <si>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</si>
  <si>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</si>
  <si>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</si>
  <si>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</si>
  <si>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</si>
  <si>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</si>
  <si>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</si>
  <si>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</si>
  <si>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</si>
  <si>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</si>
  <si>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</si>
  <si>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</si>
  <si>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</si>
  <si>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</si>
  <si>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</si>
  <si>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</si>
  <si>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</si>
  <si>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</si>
  <si>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</si>
  <si>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</si>
  <si>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</si>
  <si>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</si>
  <si>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</si>
  <si>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</si>
  <si>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</si>
  <si>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</si>
  <si>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</si>
  <si>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</si>
  <si>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</si>
  <si>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</si>
  <si>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</si>
  <si>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</si>
  <si>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</si>
  <si>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</si>
  <si>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</si>
  <si>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</si>
  <si>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</si>
  <si>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</si>
  <si>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</si>
  <si>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</si>
  <si>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</si>
  <si>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</si>
  <si>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</si>
  <si>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</si>
  <si>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</si>
  <si>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</si>
  <si>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</si>
  <si>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</si>
  <si>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</si>
  <si>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</si>
  <si>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</si>
  <si>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</si>
  <si>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</si>
  <si>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</si>
  <si>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</si>
  <si>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</si>
  <si>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</si>
  <si>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</si>
  <si>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</si>
  <si>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</si>
  <si>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</si>
  <si>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</si>
  <si>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</si>
  <si>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</si>
  <si>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</si>
  <si>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</si>
  <si>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</si>
  <si>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</si>
  <si>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</si>
  <si>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</si>
  <si>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</si>
  <si>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</si>
  <si>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</si>
  <si>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</si>
  <si>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</si>
  <si>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</si>
  <si>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</si>
  <si>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</si>
  <si>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</si>
  <si>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</si>
  <si>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</si>
  <si>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</si>
  <si>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</si>
  <si>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</si>
  <si>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</si>
  <si>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</si>
  <si>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</si>
  <si>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</si>
  <si>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</si>
  <si>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</si>
  <si>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</si>
  <si>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</si>
  <si>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</si>
  <si>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</si>
  <si>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</si>
  <si>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</si>
  <si>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</si>
  <si>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</si>
  <si>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</si>
  <si>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</si>
  <si>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</si>
  <si>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</si>
  <si>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</si>
  <si>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</si>
  <si>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</si>
  <si>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</si>
  <si>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</si>
  <si>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</si>
  <si>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</si>
  <si>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</si>
  <si>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</si>
  <si>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</si>
  <si>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</si>
  <si>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</si>
  <si>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</si>
  <si>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</si>
  <si>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</si>
  <si>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</si>
  <si>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</si>
  <si>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</si>
  <si>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</si>
  <si>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</si>
  <si>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</si>
  <si>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</si>
  <si>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</si>
  <si>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</si>
  <si>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</si>
  <si>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</si>
  <si>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</si>
  <si>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</si>
  <si>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</si>
  <si>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</si>
  <si>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</si>
  <si>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</si>
  <si>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</si>
  <si>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</si>
  <si>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</si>
  <si>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</si>
  <si>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</si>
  <si>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</si>
  <si>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</si>
  <si>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</si>
  <si>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</si>
  <si>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</si>
  <si>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</si>
  <si>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</si>
  <si>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</si>
  <si>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</si>
  <si>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</si>
  <si>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</si>
  <si>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</si>
  <si>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</si>
  <si>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</si>
  <si>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</si>
  <si>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</si>
  <si>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</si>
  <si>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</si>
  <si>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</si>
  <si>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</si>
  <si>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</si>
  <si>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</si>
  <si>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</si>
  <si>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</si>
  <si>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</si>
  <si>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</si>
  <si>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</si>
  <si>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</si>
  <si>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</si>
  <si>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</si>
  <si>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</si>
  <si>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</si>
  <si>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</si>
  <si>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</si>
  <si>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</si>
  <si>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</si>
  <si>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</si>
  <si>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</si>
  <si>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</si>
  <si>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</si>
  <si>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</si>
  <si>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</si>
  <si>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</si>
  <si>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</si>
  <si>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</si>
  <si>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</si>
  <si>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</si>
  <si>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</si>
  <si>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</si>
  <si>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</si>
  <si>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</si>
  <si>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</si>
  <si>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</si>
  <si>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</si>
  <si>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</si>
  <si>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</si>
  <si>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</si>
  <si>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</si>
  <si>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</si>
  <si>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</si>
  <si>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</si>
  <si>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</si>
  <si>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</si>
  <si>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</si>
  <si>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</si>
  <si>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</si>
  <si>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</si>
  <si>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</si>
  <si>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</si>
  <si>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</si>
  <si>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</si>
  <si>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</si>
  <si>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</si>
  <si>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</si>
  <si>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</si>
  <si>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</si>
  <si>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</si>
  <si>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</si>
  <si>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</si>
  <si>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</si>
  <si>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</si>
  <si>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</si>
  <si>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</si>
  <si>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</si>
  <si>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</si>
  <si>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</si>
  <si>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</si>
  <si>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</si>
  <si>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</si>
  <si>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</si>
  <si>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</si>
  <si>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</si>
  <si>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</si>
  <si>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</si>
  <si>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</si>
  <si>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</si>
  <si>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</si>
  <si>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</si>
  <si>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</si>
  <si>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</si>
  <si>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</si>
  <si>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</si>
  <si>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</si>
  <si>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</si>
  <si>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</si>
  <si>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</si>
  <si>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</si>
  <si>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</si>
  <si>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</si>
  <si>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</si>
  <si>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</si>
  <si>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</si>
  <si>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</si>
  <si>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</si>
  <si>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</si>
  <si>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</si>
  <si>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</si>
  <si>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</si>
  <si>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</si>
  <si>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</si>
  <si>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</si>
  <si>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</si>
  <si>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</si>
  <si>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</si>
  <si>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</si>
  <si>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</si>
  <si>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</si>
  <si>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</si>
  <si>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</si>
  <si>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</si>
  <si>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</si>
  <si>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</si>
  <si>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</si>
  <si>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</si>
  <si>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</si>
  <si>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</si>
  <si>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</si>
  <si>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</si>
  <si>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</si>
  <si>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</si>
  <si>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</si>
  <si>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</si>
  <si>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</si>
  <si>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</si>
  <si>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</si>
  <si>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</si>
  <si>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</si>
  <si>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</si>
  <si>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</si>
  <si>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</si>
  <si>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</si>
  <si>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</si>
  <si>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</si>
  <si>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</si>
  <si>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</si>
  <si>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</si>
  <si>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</si>
  <si>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</si>
  <si>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</si>
  <si>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</si>
  <si>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</si>
  <si>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</si>
  <si>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</si>
  <si>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</si>
  <si>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</si>
  <si>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</si>
  <si>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</si>
  <si>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</si>
  <si>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</si>
  <si>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</si>
  <si>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</si>
  <si>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</si>
  <si>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</si>
  <si>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</si>
  <si>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</si>
  <si>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</si>
  <si>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</si>
  <si>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</si>
  <si>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</si>
  <si>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</si>
  <si>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</si>
  <si>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</si>
  <si>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</si>
  <si>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</si>
  <si>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</si>
  <si>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</si>
  <si>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</si>
  <si>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</si>
  <si>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</si>
  <si>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</si>
  <si>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</si>
  <si>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</si>
  <si>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</si>
  <si>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</si>
  <si>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</si>
  <si>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</si>
  <si>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</si>
  <si>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</si>
  <si>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</si>
  <si>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</si>
  <si>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</si>
  <si>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</si>
  <si>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</si>
  <si>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</si>
  <si>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</si>
  <si>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</si>
  <si>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</si>
  <si>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</si>
  <si>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</si>
  <si>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</si>
  <si>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</si>
  <si>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</si>
  <si>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</si>
  <si>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</si>
  <si>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</si>
  <si>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</si>
  <si>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</si>
  <si>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</si>
  <si>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</si>
  <si>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</si>
  <si>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</si>
  <si>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</si>
  <si>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</si>
  <si>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</si>
  <si>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</si>
  <si>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</si>
  <si>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</si>
  <si>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</si>
  <si>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</si>
  <si>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</si>
  <si>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</si>
  <si>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</si>
  <si>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</si>
  <si>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</si>
  <si>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</si>
  <si>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</si>
  <si>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</si>
  <si>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</si>
  <si>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</si>
  <si>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</si>
  <si>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</si>
  <si>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</si>
  <si>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</si>
  <si>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</si>
  <si>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</si>
  <si>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</si>
  <si>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</si>
  <si>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</si>
  <si>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</si>
  <si>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</si>
  <si>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</si>
  <si>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</si>
  <si>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</si>
  <si>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</si>
  <si>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</si>
  <si>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</si>
  <si>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</si>
  <si>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</si>
  <si>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</si>
  <si>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</si>
  <si>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</si>
  <si>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</si>
  <si>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</si>
  <si>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</si>
  <si>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</si>
  <si>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</si>
  <si>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</si>
  <si>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</si>
  <si>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</si>
  <si>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</si>
  <si>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</si>
  <si>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</si>
  <si>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</si>
  <si>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</si>
  <si>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</si>
  <si>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</si>
  <si>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</si>
  <si>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</si>
  <si>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</si>
  <si>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</si>
  <si>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</si>
  <si>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</si>
  <si>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</si>
  <si>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</si>
  <si>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</si>
  <si>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</si>
  <si>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</si>
  <si>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</si>
  <si>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</si>
  <si>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</si>
  <si>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</si>
  <si>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</si>
  <si>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</si>
  <si>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</si>
  <si>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</si>
  <si>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</si>
  <si>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</si>
  <si>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</si>
  <si>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</si>
  <si>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</si>
  <si>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</si>
  <si>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</si>
  <si>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</si>
  <si>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</si>
  <si>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</si>
  <si>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</si>
  <si>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</si>
  <si>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</si>
  <si>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</si>
  <si>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</si>
  <si>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</si>
  <si>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</si>
  <si>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</si>
  <si>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</si>
  <si>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</si>
  <si>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</si>
  <si>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</si>
  <si>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</si>
  <si>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</si>
  <si>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</si>
  <si>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</si>
  <si>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</si>
  <si>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</si>
  <si>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</si>
  <si>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</si>
  <si>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</si>
  <si>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</si>
  <si>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</si>
  <si>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</si>
  <si>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</si>
  <si>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</si>
  <si>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</si>
  <si>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</si>
  <si>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</si>
  <si>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</si>
  <si>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</si>
  <si>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</si>
  <si>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</si>
  <si>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</si>
  <si>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</si>
  <si>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</si>
  <si>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</si>
  <si>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</si>
  <si>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</si>
  <si>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</si>
  <si>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</si>
  <si>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</si>
  <si>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</si>
  <si>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</si>
  <si>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</si>
  <si>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</si>
  <si>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</si>
  <si>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</si>
  <si>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</si>
  <si>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</si>
  <si>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</si>
  <si>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</si>
  <si>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</si>
  <si>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</si>
  <si>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</si>
  <si>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</si>
  <si>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</si>
  <si>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</si>
  <si>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</si>
  <si>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</si>
  <si>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</si>
  <si>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</si>
  <si>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</si>
  <si>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</si>
  <si>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</si>
  <si>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</si>
  <si>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</si>
  <si>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</si>
  <si>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</si>
  <si>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</si>
  <si>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</si>
  <si>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</si>
  <si>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</si>
  <si>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</si>
  <si>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</si>
  <si>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</si>
  <si>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</si>
  <si>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</si>
  <si>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</si>
  <si>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</si>
  <si>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</si>
  <si>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</si>
  <si>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</si>
  <si>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</si>
  <si>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</si>
  <si>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</si>
  <si>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</si>
  <si>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</si>
  <si>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</si>
  <si>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</si>
  <si>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</si>
  <si>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</si>
  <si>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</si>
  <si>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</si>
  <si>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</si>
  <si>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</si>
  <si>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</si>
  <si>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</si>
  <si>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</si>
  <si>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</si>
  <si>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</si>
  <si>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</si>
  <si>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</si>
  <si>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</si>
  <si>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</si>
  <si>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</si>
  <si>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</si>
  <si>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</si>
  <si>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</si>
  <si>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</si>
  <si>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</si>
  <si>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</si>
  <si>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</si>
  <si>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</si>
  <si>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</si>
  <si>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</si>
  <si>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</si>
  <si>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</si>
  <si>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</si>
  <si>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</si>
  <si>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</si>
  <si>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</si>
  <si>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</si>
  <si>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</si>
  <si>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</si>
  <si>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</si>
  <si>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</si>
  <si>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</si>
  <si>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</si>
  <si>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</si>
  <si>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</si>
  <si>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</si>
  <si>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</si>
  <si>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</si>
  <si>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</si>
  <si>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</si>
  <si>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</si>
  <si>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</si>
  <si>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</si>
  <si>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</si>
  <si>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</si>
  <si>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</si>
  <si>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</si>
  <si>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</si>
  <si>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</si>
  <si>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</si>
  <si>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</si>
  <si>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</si>
  <si>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</si>
  <si>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</si>
  <si>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</si>
  <si>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</si>
  <si>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</si>
  <si>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</si>
  <si>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</si>
  <si>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</si>
  <si>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</si>
  <si>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</si>
  <si>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</si>
  <si>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</si>
  <si>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</si>
  <si>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</si>
  <si>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</si>
  <si>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</si>
  <si>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</si>
  <si>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</si>
  <si>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</si>
  <si>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</si>
  <si>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</si>
  <si>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</si>
  <si>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</si>
  <si>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</si>
  <si>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</si>
  <si>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</si>
  <si>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</si>
  <si>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</si>
  <si>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</si>
  <si>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</si>
  <si>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</si>
  <si>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</si>
  <si>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</si>
  <si>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</si>
  <si>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</si>
  <si>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</si>
  <si>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</si>
  <si>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</si>
  <si>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</si>
  <si>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</si>
  <si>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</si>
  <si>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</si>
  <si>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</si>
  <si>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</si>
  <si>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</si>
  <si>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</si>
  <si>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</si>
  <si>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</si>
  <si>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</si>
  <si>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</si>
  <si>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</si>
  <si>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</si>
  <si>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</si>
  <si>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</si>
  <si>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</si>
  <si>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</si>
  <si>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</si>
  <si>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</si>
  <si>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</si>
  <si>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</si>
  <si>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</si>
  <si>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</si>
  <si>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</si>
  <si>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</si>
  <si>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</si>
  <si>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</si>
  <si>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</si>
  <si>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</si>
  <si>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</si>
  <si>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</si>
  <si>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</si>
  <si>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</si>
  <si>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</si>
  <si>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</si>
  <si>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</si>
  <si>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</si>
  <si>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</si>
  <si>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</si>
  <si>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</si>
  <si>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</si>
  <si>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</si>
  <si>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</si>
  <si>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</si>
  <si>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</si>
  <si>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</si>
  <si>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</si>
  <si>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</si>
  <si>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</si>
  <si>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</si>
  <si>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</si>
  <si>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</si>
  <si>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</si>
  <si>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</si>
  <si>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</si>
  <si>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</si>
  <si>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</si>
  <si>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</si>
  <si>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</si>
  <si>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</si>
  <si>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</si>
  <si>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</si>
  <si>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</si>
  <si>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</si>
  <si>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</si>
  <si>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</si>
  <si>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</si>
  <si>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</si>
  <si>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</si>
  <si>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</si>
  <si>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</si>
  <si>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</si>
  <si>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</si>
  <si>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</si>
  <si>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</si>
  <si>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</si>
  <si>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</si>
  <si>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</si>
  <si>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</si>
  <si>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</si>
  <si>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</si>
  <si>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</si>
  <si>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</si>
  <si>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</si>
  <si>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</si>
  <si>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</si>
  <si>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</si>
  <si>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</si>
  <si>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</si>
  <si>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</si>
  <si>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</si>
  <si>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</si>
  <si>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</si>
  <si>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</si>
  <si>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</si>
  <si>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</si>
  <si>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</si>
  <si>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</si>
  <si>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</si>
  <si>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</si>
  <si>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</si>
  <si>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</si>
  <si>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</si>
  <si>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</si>
  <si>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</si>
  <si>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</si>
  <si>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</si>
  <si>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</si>
  <si>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</si>
  <si>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</si>
  <si>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</si>
  <si>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</si>
  <si>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</si>
  <si>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</si>
  <si>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</si>
  <si>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</si>
  <si>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</si>
  <si>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</si>
  <si>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</si>
  <si>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</si>
  <si>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</si>
  <si>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</si>
  <si>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</si>
  <si>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</si>
  <si>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</si>
  <si>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</si>
  <si>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</si>
  <si>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</si>
  <si>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</si>
  <si>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</si>
  <si>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</si>
  <si>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</si>
  <si>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</si>
  <si>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</si>
  <si>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</si>
  <si>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</si>
  <si>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</si>
  <si>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</si>
  <si>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</si>
  <si>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</si>
  <si>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</si>
  <si>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</si>
  <si>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</si>
  <si>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</si>
  <si>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</si>
  <si>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</si>
  <si>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</si>
  <si>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</si>
  <si>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</si>
  <si>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</si>
  <si>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</si>
  <si>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</si>
  <si>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</si>
  <si>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</si>
  <si>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</si>
  <si>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</si>
  <si>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</si>
  <si>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</si>
  <si>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</si>
  <si>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</si>
  <si>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</si>
  <si>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</si>
  <si>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</si>
  <si>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</si>
  <si>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</si>
  <si>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</si>
  <si>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</si>
  <si>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</si>
  <si>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</si>
  <si>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</si>
  <si>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</si>
  <si>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</si>
  <si>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</si>
  <si>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</si>
  <si>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</si>
  <si>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</si>
  <si>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</si>
  <si>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</si>
  <si>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</si>
  <si>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</si>
  <si>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</si>
  <si>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</si>
  <si>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</si>
  <si>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</si>
  <si>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</si>
  <si>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</si>
  <si>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</si>
  <si>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</si>
  <si>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</si>
  <si>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</si>
  <si>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</si>
  <si>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</si>
  <si>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</si>
  <si>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</si>
  <si>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</si>
  <si>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</si>
  <si>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</si>
  <si>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</si>
  <si>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</si>
  <si>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</si>
  <si>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</si>
  <si>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</si>
  <si>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</si>
  <si>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</si>
  <si>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</si>
  <si>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</si>
  <si>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</si>
  <si>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</si>
  <si>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</si>
  <si>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</si>
  <si>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</si>
  <si>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</si>
  <si>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</si>
  <si>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</si>
  <si>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</si>
  <si>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</si>
  <si>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</si>
  <si>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</si>
  <si>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</si>
  <si>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</si>
  <si>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</si>
  <si>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</si>
  <si>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</si>
  <si>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</si>
  <si>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</si>
  <si>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</si>
  <si>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</si>
  <si>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</si>
  <si>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</si>
  <si>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</si>
  <si>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</si>
  <si>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</si>
  <si>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</si>
  <si>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</si>
  <si>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</si>
  <si>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</si>
  <si>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</si>
  <si>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</si>
  <si>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</si>
  <si>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</si>
  <si>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</si>
  <si>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</si>
  <si>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</si>
  <si>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</si>
  <si>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</si>
  <si>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</si>
  <si>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</si>
  <si>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</si>
  <si>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</si>
  <si>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</si>
  <si>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</si>
  <si>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</si>
  <si>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</si>
  <si>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</si>
  <si>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</si>
  <si>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</si>
  <si>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</si>
  <si>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</si>
  <si>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</si>
  <si>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</si>
  <si>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</si>
  <si>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</si>
  <si>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</si>
  <si>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</si>
  <si>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</si>
  <si>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</si>
  <si>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</si>
  <si>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</si>
  <si>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</si>
  <si>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</si>
  <si>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</si>
  <si>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</si>
  <si>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</si>
  <si>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</si>
  <si>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</si>
  <si>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</si>
  <si>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</si>
  <si>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</si>
  <si>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</si>
  <si>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</si>
  <si>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</si>
  <si>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</si>
  <si>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</si>
  <si>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</si>
  <si>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</si>
  <si>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</si>
  <si>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</si>
  <si>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</si>
  <si>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</si>
  <si>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</si>
  <si>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</si>
  <si>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</si>
  <si>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</si>
  <si>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</si>
  <si>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</si>
  <si>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</si>
  <si>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</si>
  <si>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</si>
  <si>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</si>
  <si>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</si>
  <si>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</si>
  <si>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</si>
  <si>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</si>
  <si>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</si>
  <si>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</si>
  <si>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</si>
  <si>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</si>
  <si>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</si>
  <si>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</si>
  <si>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</si>
  <si>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</si>
  <si>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</si>
  <si>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</si>
  <si>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</si>
  <si>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</si>
  <si>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</si>
  <si>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</si>
  <si>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</si>
  <si>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</si>
  <si>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</si>
  <si>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</si>
  <si>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</si>
  <si>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</si>
  <si>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</si>
  <si>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</si>
  <si>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</si>
  <si>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</si>
  <si>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</si>
  <si>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</si>
  <si>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</si>
  <si>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</si>
  <si>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</si>
  <si>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</si>
  <si>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</si>
  <si>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</si>
  <si>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</si>
  <si>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</si>
  <si>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</si>
  <si>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</si>
  <si>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</si>
  <si>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</si>
  <si>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</si>
  <si>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</si>
  <si>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</si>
  <si>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</si>
  <si>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</si>
  <si>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</si>
  <si>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</si>
  <si>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</si>
  <si>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</si>
  <si>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</si>
  <si>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</si>
  <si>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</si>
  <si>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</si>
  <si>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</si>
  <si>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</si>
  <si>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</si>
  <si>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</si>
  <si>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</si>
  <si>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</si>
  <si>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</si>
  <si>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</si>
  <si>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</si>
  <si>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</si>
  <si>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</si>
  <si>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</si>
  <si>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</si>
  <si>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</si>
  <si>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</si>
  <si>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</si>
  <si>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</si>
  <si>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</si>
  <si>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</si>
  <si>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</si>
  <si>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</si>
  <si>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</si>
  <si>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</si>
  <si>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</si>
  <si>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</si>
  <si>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</si>
  <si>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</si>
  <si>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</si>
  <si>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</si>
  <si>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</si>
  <si>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</si>
  <si>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</si>
  <si>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</si>
  <si>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</si>
  <si>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</si>
  <si>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</si>
  <si>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</si>
  <si>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</si>
  <si>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</si>
  <si>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</si>
  <si>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</si>
  <si>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</si>
  <si>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</si>
  <si>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</si>
  <si>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</si>
  <si>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</si>
  <si>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</si>
  <si>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</si>
  <si>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</si>
  <si>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</si>
  <si>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</si>
  <si>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</si>
  <si>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</si>
  <si>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</si>
  <si>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</si>
  <si>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</si>
  <si>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</si>
  <si>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</si>
  <si>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</si>
  <si>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</si>
  <si>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</si>
  <si>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</si>
  <si>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</si>
  <si>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</si>
  <si>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</si>
  <si>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</si>
  <si>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</si>
  <si>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</si>
  <si>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</si>
  <si>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</si>
  <si>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</si>
  <si>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</si>
  <si>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</si>
  <si>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</si>
  <si>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</si>
  <si>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</si>
  <si>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</si>
  <si>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</si>
  <si>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</si>
  <si>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</si>
  <si>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</si>
  <si>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</si>
  <si>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</si>
  <si>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</si>
  <si>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</si>
  <si>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</si>
  <si>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</si>
  <si>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</si>
  <si>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</si>
  <si>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</si>
  <si>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</si>
  <si>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</si>
  <si>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</si>
  <si>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</si>
  <si>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</si>
  <si>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</si>
  <si>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</si>
  <si>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</si>
  <si>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</si>
  <si>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</si>
  <si>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</si>
  <si>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</si>
  <si>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</si>
  <si>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</si>
  <si>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</si>
  <si>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</si>
  <si>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</si>
  <si>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</si>
  <si>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</si>
  <si>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</si>
  <si>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</si>
  <si>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</si>
  <si>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</si>
  <si>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</si>
  <si>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</si>
  <si>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</si>
  <si>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</si>
  <si>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</si>
  <si>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</si>
  <si>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</si>
  <si>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</si>
  <si>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</si>
  <si>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</si>
  <si>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</si>
  <si>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</si>
  <si>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</si>
  <si>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</si>
  <si>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</si>
  <si>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</si>
  <si>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</si>
  <si>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</si>
  <si>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</si>
  <si>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</si>
  <si>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</si>
  <si>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</si>
  <si>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</si>
  <si>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</si>
  <si>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</si>
  <si>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</si>
  <si>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</si>
  <si>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</si>
  <si>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</si>
  <si>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</si>
  <si>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</si>
  <si>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</si>
  <si>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</si>
  <si>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</si>
  <si>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</si>
  <si>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</si>
  <si>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</si>
  <si>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</si>
  <si>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</si>
  <si>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</si>
  <si>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</si>
  <si>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</si>
  <si>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</si>
  <si>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</si>
  <si>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</si>
  <si>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</si>
  <si>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</si>
  <si>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</si>
  <si>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</si>
  <si>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</si>
  <si>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</si>
  <si>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</si>
  <si>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</si>
  <si>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</si>
  <si>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</si>
  <si>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</si>
  <si>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</si>
  <si>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</si>
  <si>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</si>
  <si>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</si>
  <si>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</si>
  <si>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</si>
  <si>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</si>
  <si>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</si>
  <si>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</si>
  <si>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</si>
  <si>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</si>
  <si>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</si>
  <si>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</si>
  <si>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</si>
  <si>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</si>
  <si>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</si>
  <si>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</si>
  <si>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</si>
  <si>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</si>
  <si>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</si>
  <si>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</si>
  <si>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</si>
  <si>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</si>
  <si>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</si>
  <si>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</si>
  <si>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</si>
  <si>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</si>
  <si>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</si>
  <si>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</si>
  <si>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</si>
  <si>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</si>
  <si>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</si>
  <si>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</si>
  <si>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</si>
  <si>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</si>
  <si>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</si>
  <si>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</si>
  <si>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</si>
  <si>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</si>
  <si>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</si>
  <si>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</si>
  <si>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</si>
  <si>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</si>
  <si>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</si>
  <si>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</si>
  <si>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</si>
  <si>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</si>
  <si>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</si>
  <si>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</si>
  <si>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</si>
  <si>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</si>
  <si>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</si>
  <si>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</si>
  <si>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</si>
  <si>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</si>
  <si>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</si>
  <si>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</si>
  <si>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</si>
  <si>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</si>
  <si>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</si>
  <si>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</si>
  <si>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</si>
  <si>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</si>
  <si>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</si>
  <si>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</si>
  <si>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</si>
  <si>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</si>
  <si>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</si>
  <si>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</si>
  <si>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</si>
  <si>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</si>
  <si>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</si>
  <si>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</si>
  <si>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</si>
  <si>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</si>
  <si>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</si>
  <si>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</si>
  <si>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</si>
  <si>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</si>
  <si>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</si>
  <si>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</si>
  <si>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</si>
  <si>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</si>
  <si>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</si>
  <si>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</si>
  <si>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</si>
  <si>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</si>
  <si>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</si>
  <si>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</si>
  <si>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</si>
  <si>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</si>
  <si>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</si>
  <si>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</si>
  <si>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</si>
  <si>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</si>
  <si>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</si>
  <si>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</si>
  <si>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</si>
  <si>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</si>
  <si>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</si>
  <si>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</si>
  <si>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</si>
  <si>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</si>
  <si>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</si>
  <si>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</si>
  <si>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</si>
  <si>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</si>
  <si>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</si>
  <si>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</si>
  <si>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</si>
  <si>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</si>
  <si>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</si>
  <si>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</si>
  <si>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</si>
  <si>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</si>
  <si>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</si>
  <si>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</si>
  <si>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</si>
  <si>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</si>
  <si>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</si>
  <si>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</si>
  <si>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</si>
  <si>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</si>
  <si>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</si>
  <si>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</si>
  <si>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</si>
  <si>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</si>
  <si>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</si>
  <si>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</si>
  <si>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</si>
  <si>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</si>
  <si>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</si>
  <si>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</si>
  <si>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</si>
  <si>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</si>
  <si>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</si>
  <si>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</si>
  <si>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</si>
  <si>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</si>
  <si>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</si>
  <si>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</si>
  <si>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</si>
  <si>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</si>
  <si>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</si>
  <si>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</si>
  <si>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</si>
  <si>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</si>
  <si>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</si>
  <si>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</si>
  <si>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</si>
  <si>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</si>
  <si>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</si>
  <si>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</si>
  <si>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</si>
  <si>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</si>
  <si>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</si>
  <si>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</si>
  <si>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</si>
  <si>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</si>
  <si>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</si>
  <si>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</si>
  <si>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</si>
  <si>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</si>
  <si>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</si>
  <si>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</si>
  <si>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</si>
  <si>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</si>
  <si>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</si>
  <si>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</si>
  <si>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</si>
  <si>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</si>
  <si>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</si>
  <si>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</si>
  <si>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</si>
  <si>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</si>
  <si>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</si>
  <si>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</si>
  <si>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</si>
  <si>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</si>
  <si>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</si>
  <si>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</si>
  <si>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</si>
  <si>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</si>
  <si>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</si>
  <si>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</si>
  <si>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</si>
  <si>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</si>
  <si>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</si>
  <si>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</si>
  <si>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</si>
  <si>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</si>
  <si>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</si>
  <si>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</si>
  <si>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</si>
  <si>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</si>
  <si>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</si>
  <si>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</si>
  <si>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</si>
  <si>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</si>
  <si>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</si>
  <si>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</si>
  <si>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</si>
  <si>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</si>
  <si>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</si>
  <si>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</si>
  <si>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</si>
  <si>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</si>
  <si>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</si>
  <si>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</si>
  <si>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</si>
  <si>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</si>
  <si>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</si>
  <si>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</si>
  <si>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</si>
  <si>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</si>
  <si>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</si>
  <si>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</si>
  <si>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</si>
  <si>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</si>
  <si>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</si>
  <si>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</si>
  <si>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</si>
  <si>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</si>
  <si>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</si>
  <si>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</si>
  <si>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</si>
  <si>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</si>
  <si>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</si>
  <si>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</si>
  <si>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</si>
  <si>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</si>
  <si>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</si>
  <si>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</si>
  <si>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</si>
  <si>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</si>
  <si>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</si>
  <si>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</si>
  <si>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</si>
  <si>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</si>
  <si>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</si>
  <si>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</si>
  <si>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</si>
  <si>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</si>
  <si>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</si>
  <si>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</si>
  <si>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</si>
  <si>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</si>
  <si>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</si>
  <si>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</si>
  <si>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</si>
  <si>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</si>
  <si>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</si>
  <si>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</si>
  <si>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</si>
  <si>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</si>
  <si>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</si>
  <si>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</si>
  <si>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</si>
  <si>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</si>
  <si>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</si>
  <si>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</si>
  <si>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</si>
  <si>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</si>
  <si>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</si>
  <si>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</si>
  <si>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</si>
  <si>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</si>
  <si>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</si>
  <si>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</si>
  <si>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</si>
  <si>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</si>
  <si>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</si>
  <si>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</si>
  <si>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</si>
  <si>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</si>
  <si>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</si>
  <si>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</si>
  <si>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</si>
  <si>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</si>
  <si>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</si>
  <si>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</si>
  <si>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</si>
  <si>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</si>
  <si>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</si>
  <si>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</si>
  <si>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</si>
  <si>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</si>
  <si>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</si>
  <si>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</si>
  <si>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</si>
  <si>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</si>
  <si>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</si>
  <si>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</si>
  <si>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</si>
  <si>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</si>
  <si>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</si>
  <si>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</si>
  <si>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</si>
  <si>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</si>
  <si>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</si>
  <si>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</si>
  <si>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</si>
  <si>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</si>
  <si>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</si>
  <si>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</si>
  <si>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</si>
  <si>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</si>
  <si>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</si>
  <si>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</si>
  <si>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</si>
  <si>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</si>
  <si>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</si>
  <si>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</si>
  <si>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</si>
  <si>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</si>
  <si>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</si>
  <si>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</si>
  <si>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</si>
  <si>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</si>
  <si>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</si>
  <si>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</si>
  <si>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</si>
  <si>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</si>
  <si>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</si>
  <si>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</si>
  <si>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</si>
  <si>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</si>
  <si>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</si>
  <si>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</si>
  <si>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</si>
  <si>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</si>
  <si>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</si>
  <si>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</si>
  <si>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</si>
  <si>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</si>
  <si>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</si>
  <si>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</si>
  <si>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</si>
  <si>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</si>
  <si>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</si>
  <si>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</si>
  <si>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</si>
  <si>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</si>
  <si>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</si>
  <si>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</si>
  <si>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</si>
  <si>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</si>
  <si>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</si>
  <si>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</si>
  <si>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</si>
  <si>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</si>
  <si>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</si>
  <si>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</si>
  <si>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</si>
  <si>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</si>
  <si>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</si>
  <si>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</si>
  <si>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</si>
  <si>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</si>
  <si>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</si>
  <si>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</si>
  <si>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</si>
  <si>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</si>
  <si>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</si>
  <si>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</si>
  <si>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</si>
  <si>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</si>
  <si>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</si>
  <si>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</si>
  <si>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</si>
  <si>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</si>
  <si>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</si>
  <si>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</si>
  <si>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</si>
  <si>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</si>
  <si>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</si>
  <si>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</si>
  <si>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</si>
  <si>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</si>
  <si>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</si>
  <si>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</si>
  <si>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</si>
  <si>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</si>
  <si>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</si>
  <si>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</si>
  <si>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</si>
  <si>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</si>
  <si>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</si>
  <si>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</si>
  <si>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</si>
  <si>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</si>
  <si>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</si>
  <si>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</si>
  <si>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</si>
  <si>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</si>
  <si>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</si>
  <si>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</si>
  <si>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</si>
  <si>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</si>
  <si>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</si>
  <si>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</si>
  <si>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</si>
  <si>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</si>
  <si>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</si>
  <si>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</si>
  <si>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</si>
  <si>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</si>
  <si>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</si>
  <si>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</si>
  <si>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</si>
  <si>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</si>
  <si>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</si>
  <si>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</si>
  <si>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</si>
  <si>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</si>
  <si>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</si>
  <si>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</si>
  <si>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</si>
  <si>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</si>
  <si>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</si>
  <si>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</si>
  <si>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</si>
  <si>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</si>
  <si>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</si>
  <si>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</si>
  <si>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</si>
  <si>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</si>
  <si>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</si>
  <si>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</si>
  <si>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</si>
  <si>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</si>
  <si>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</si>
  <si>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</si>
  <si>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</si>
  <si>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</si>
  <si>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</si>
  <si>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</si>
  <si>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</si>
  <si>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</si>
  <si>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</si>
  <si>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</si>
  <si>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</si>
  <si>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</si>
  <si>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</si>
  <si>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</si>
  <si>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</si>
  <si>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</si>
  <si>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</si>
  <si>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</si>
  <si>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</si>
  <si>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</si>
  <si>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</si>
  <si>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</si>
  <si>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</si>
  <si>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</si>
  <si>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</si>
  <si>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</si>
  <si>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</si>
  <si>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</si>
  <si>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</si>
  <si>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</si>
  <si>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</si>
  <si>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</si>
  <si>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</si>
  <si>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</si>
  <si>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</si>
  <si>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</si>
  <si>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</si>
  <si>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</si>
  <si>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</si>
  <si>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</si>
  <si>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</si>
  <si>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</si>
  <si>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</si>
  <si>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</si>
  <si>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</si>
  <si>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</si>
  <si>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</si>
  <si>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</si>
  <si>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</si>
  <si>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</si>
  <si>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</si>
  <si>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</si>
  <si>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</si>
  <si>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</si>
  <si>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</si>
  <si>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</si>
  <si>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</si>
  <si>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</si>
  <si>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</si>
  <si>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</si>
  <si>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</si>
  <si>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</si>
  <si>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</si>
  <si>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</si>
  <si>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</si>
  <si>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</si>
  <si>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</si>
  <si>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</si>
  <si>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</si>
  <si>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</si>
  <si>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</si>
  <si>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</si>
  <si>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</si>
  <si>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</si>
  <si>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</si>
  <si>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</si>
  <si>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</si>
  <si>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</si>
  <si>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</si>
  <si>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</si>
  <si>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</si>
  <si>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</si>
  <si>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</si>
  <si>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</si>
  <si>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</si>
  <si>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</si>
  <si>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</si>
  <si>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</si>
  <si>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</si>
  <si>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</si>
  <si>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</si>
  <si>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</si>
  <si>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</si>
  <si>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</si>
  <si>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</si>
  <si>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</si>
  <si>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</si>
  <si>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</si>
  <si>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</si>
  <si>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</si>
  <si>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</si>
  <si>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</si>
  <si>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</si>
  <si>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</si>
  <si>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</si>
  <si>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</si>
  <si>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</si>
  <si>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</si>
  <si>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</si>
  <si>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</si>
  <si>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</si>
  <si>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</si>
  <si>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</si>
  <si>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</si>
  <si>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</si>
  <si>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</si>
  <si>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</si>
  <si>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</si>
  <si>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</si>
  <si>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</si>
  <si>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</si>
  <si>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</si>
  <si>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</si>
  <si>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</si>
  <si>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</si>
  <si>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</si>
  <si>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</si>
  <si>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</si>
  <si>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</si>
  <si>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</si>
  <si>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</si>
  <si>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</si>
  <si>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</si>
  <si>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</si>
  <si>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</si>
  <si>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</si>
  <si>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</si>
  <si>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</si>
  <si>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</si>
  <si>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</si>
  <si>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</si>
  <si>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</si>
  <si>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</si>
  <si>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</si>
  <si>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</si>
  <si>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</si>
  <si>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</si>
  <si>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</si>
  <si>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</si>
  <si>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</si>
  <si>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</si>
  <si>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</si>
  <si>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</si>
  <si>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</si>
  <si>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</si>
  <si>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</si>
  <si>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</si>
  <si>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</si>
  <si>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</si>
  <si>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</si>
  <si>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</si>
  <si>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</si>
  <si>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</si>
  <si>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</si>
  <si>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</si>
  <si>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</si>
  <si>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</si>
  <si>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</si>
  <si>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</si>
  <si>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</si>
  <si>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</si>
  <si>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</si>
  <si>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</si>
  <si>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</si>
  <si>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</si>
  <si>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</si>
  <si>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</si>
  <si>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</si>
  <si>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</si>
  <si>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</si>
  <si>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</si>
  <si>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</si>
  <si>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</si>
  <si>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</si>
  <si>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</si>
  <si>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</si>
  <si>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</si>
  <si>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</si>
  <si>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</si>
  <si>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</si>
  <si>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</si>
  <si>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</si>
  <si>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</si>
  <si>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</si>
  <si>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</si>
  <si>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</si>
  <si>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</si>
  <si>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</si>
  <si>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</si>
  <si>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</si>
  <si>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</si>
  <si>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</si>
  <si>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</si>
  <si>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</si>
  <si>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</si>
  <si>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</si>
  <si>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</si>
  <si>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</si>
  <si>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</si>
  <si>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</si>
  <si>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</si>
  <si>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</si>
  <si>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</si>
  <si>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</si>
  <si>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</si>
  <si>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</si>
  <si>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</si>
  <si>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</si>
  <si>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</si>
  <si>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</si>
  <si>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</si>
  <si>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</si>
  <si>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</si>
  <si>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</si>
  <si>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</si>
  <si>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</si>
  <si>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</si>
  <si>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</si>
  <si>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</si>
  <si>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</si>
  <si>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</si>
  <si>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</si>
  <si>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</si>
  <si>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</si>
  <si>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</si>
  <si>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</si>
  <si>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</si>
  <si>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</si>
  <si>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</si>
  <si>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</si>
  <si>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</si>
  <si>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</si>
  <si>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</si>
  <si>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</si>
  <si>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</si>
  <si>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</si>
  <si>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</si>
  <si>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</si>
  <si>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</si>
  <si>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</si>
  <si>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</si>
  <si>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</si>
  <si>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</si>
  <si>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</si>
  <si>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</si>
  <si>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</si>
  <si>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</si>
  <si>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</si>
  <si>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</si>
  <si>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</si>
  <si>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</si>
  <si>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</si>
  <si>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</si>
  <si>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</si>
  <si>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</si>
  <si>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</si>
  <si>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</si>
  <si>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</si>
  <si>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</si>
  <si>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</si>
  <si>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</si>
  <si>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</si>
  <si>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</si>
  <si>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</si>
  <si>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</si>
  <si>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</si>
  <si>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</si>
  <si>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</si>
  <si>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</si>
  <si>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</si>
  <si>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</si>
  <si>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</si>
  <si>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</si>
  <si>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</si>
  <si>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</si>
  <si>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</si>
  <si>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</si>
  <si>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</si>
  <si>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</si>
  <si>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</si>
  <si>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</si>
  <si>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</si>
  <si>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</si>
  <si>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</si>
  <si>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</si>
  <si>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</si>
  <si>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</si>
  <si>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</si>
  <si>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</si>
  <si>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</si>
  <si>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</si>
  <si>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</si>
  <si>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</si>
  <si>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</si>
  <si>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</si>
  <si>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</si>
  <si>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</si>
  <si>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</si>
  <si>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</si>
  <si>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</si>
  <si>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</si>
  <si>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</si>
  <si>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</si>
  <si>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</si>
  <si>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</si>
  <si>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</si>
  <si>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</si>
  <si>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</si>
  <si>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</si>
  <si>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</si>
  <si>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</si>
  <si>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</si>
  <si>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</si>
  <si>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</si>
  <si>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</si>
  <si>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</si>
  <si>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</si>
  <si>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</si>
  <si>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</si>
  <si>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</si>
  <si>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</si>
  <si>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</si>
  <si>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</si>
  <si>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</si>
  <si>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</si>
  <si>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</si>
  <si>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</si>
  <si>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</si>
  <si>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</si>
  <si>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</si>
  <si>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</si>
  <si>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</si>
  <si>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</si>
  <si>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</si>
  <si>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</si>
  <si>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</si>
  <si>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</si>
  <si>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</si>
  <si>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</si>
  <si>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</si>
  <si>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</si>
  <si>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</si>
  <si>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</si>
  <si>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</si>
  <si>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</si>
  <si>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</si>
  <si>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</si>
  <si>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</si>
  <si>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</si>
  <si>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</si>
  <si>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</si>
  <si>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</si>
  <si>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</si>
  <si>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</si>
  <si>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</si>
  <si>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</si>
  <si>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</si>
  <si>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</si>
  <si>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</si>
  <si>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</si>
  <si>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</si>
  <si>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</si>
  <si>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</si>
  <si>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</si>
  <si>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</si>
  <si>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</si>
  <si>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</si>
  <si>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</si>
  <si>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</si>
  <si>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</si>
  <si>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</si>
  <si>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</si>
  <si>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</si>
  <si>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</si>
  <si>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</si>
  <si>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</si>
  <si>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</si>
  <si>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</si>
  <si>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</si>
  <si>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</si>
  <si>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</si>
  <si>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</si>
  <si>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</si>
  <si>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</si>
  <si>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</si>
  <si>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</si>
  <si>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</si>
  <si>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</si>
  <si>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</si>
  <si>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</si>
  <si>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</si>
  <si>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</si>
  <si>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</si>
  <si>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</si>
  <si>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</si>
  <si>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</si>
  <si>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</si>
  <si>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</si>
  <si>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</si>
  <si>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</si>
  <si>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</si>
  <si>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</si>
  <si>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</si>
  <si>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</si>
  <si>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</si>
  <si>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</si>
  <si>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</si>
  <si>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</si>
  <si>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</si>
  <si>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</si>
  <si>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</si>
  <si>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</si>
  <si>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</si>
  <si>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</si>
  <si>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</si>
  <si>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</si>
  <si>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</si>
  <si>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</si>
  <si>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</si>
  <si>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</si>
  <si>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</si>
  <si>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</si>
  <si>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</si>
  <si>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</si>
  <si>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</si>
  <si>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</si>
  <si>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</si>
  <si>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</si>
  <si>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</si>
  <si>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</si>
  <si>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</si>
  <si>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</si>
  <si>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</si>
  <si>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</si>
  <si>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</si>
  <si>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</si>
  <si>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</si>
  <si>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</si>
  <si>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</si>
  <si>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</si>
  <si>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</si>
  <si>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</si>
  <si>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</si>
  <si>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</si>
  <si>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</si>
  <si>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</si>
  <si>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</si>
  <si>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</si>
  <si>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</si>
  <si>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</si>
  <si>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</si>
  <si>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</si>
  <si>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</si>
  <si>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</si>
  <si>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</si>
  <si>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</si>
  <si>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</si>
  <si>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</si>
  <si>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</si>
  <si>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</si>
  <si>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</si>
  <si>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</si>
  <si>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</si>
  <si>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</si>
  <si>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</si>
  <si>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</si>
  <si>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</si>
  <si>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</si>
  <si>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</si>
  <si>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</si>
  <si>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</si>
  <si>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</si>
  <si>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</si>
  <si>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</si>
  <si>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</si>
  <si>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</si>
  <si>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</si>
  <si>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</si>
  <si>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</si>
  <si>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</si>
  <si>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</si>
  <si>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</si>
  <si>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</si>
  <si>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</si>
  <si>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</si>
  <si>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</si>
  <si>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</si>
  <si>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</si>
  <si>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</si>
  <si>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</si>
  <si>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</si>
  <si>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</si>
  <si>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</si>
  <si>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</si>
  <si>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</si>
  <si>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</si>
  <si>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</si>
  <si>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</si>
  <si>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</si>
  <si>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</si>
  <si>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</si>
  <si>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</si>
  <si>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</si>
  <si>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</si>
  <si>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</si>
  <si>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</si>
  <si>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</si>
  <si>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</si>
  <si>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</si>
  <si>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</si>
  <si>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</si>
  <si>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</si>
  <si>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</si>
  <si>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</si>
  <si>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</si>
  <si>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</si>
  <si>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</si>
  <si>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</si>
  <si>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</si>
  <si>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</si>
  <si>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</si>
  <si>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</si>
  <si>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</si>
  <si>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</si>
  <si>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</si>
  <si>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</si>
  <si>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</si>
  <si>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</si>
  <si>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</si>
  <si>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</si>
  <si>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</si>
  <si>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</si>
  <si>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</si>
  <si>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</si>
  <si>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</si>
  <si>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</si>
  <si>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</si>
  <si>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</si>
  <si>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</si>
  <si>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</si>
  <si>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</si>
  <si>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</si>
  <si>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</si>
  <si>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</si>
  <si>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</si>
  <si>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</si>
  <si>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</si>
  <si>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</si>
  <si>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</si>
  <si>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</si>
  <si>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</si>
  <si>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</si>
  <si>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</si>
  <si>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</si>
  <si>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</si>
  <si>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</si>
  <si>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</si>
  <si>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</si>
  <si>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</si>
  <si>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</si>
  <si>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</si>
  <si>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</si>
  <si>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</si>
  <si>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</si>
  <si>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</si>
  <si>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</si>
  <si>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</si>
  <si>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</si>
  <si>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</si>
  <si>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</si>
  <si>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</si>
  <si>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</si>
  <si>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</si>
  <si>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</si>
  <si>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</si>
  <si>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</si>
  <si>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</si>
  <si>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</si>
  <si>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</si>
  <si>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</si>
  <si>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</si>
  <si>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</si>
  <si>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</si>
  <si>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</si>
  <si>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</si>
  <si>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</si>
  <si>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</si>
  <si>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</si>
  <si>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</si>
  <si>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</si>
  <si>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</si>
  <si>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</si>
  <si>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</si>
  <si>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</si>
  <si>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</si>
  <si>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</si>
  <si>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</si>
  <si>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</si>
  <si>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</si>
  <si>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</si>
  <si>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</si>
  <si>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</si>
  <si>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</si>
  <si>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</si>
  <si>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</si>
  <si>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</si>
  <si>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</si>
  <si>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</si>
  <si>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</si>
  <si>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</si>
  <si>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</si>
  <si>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</si>
  <si>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</si>
  <si>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</si>
  <si>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</si>
  <si>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</si>
  <si>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</si>
  <si>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</si>
  <si>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</si>
  <si>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</si>
  <si>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</si>
  <si>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</si>
  <si>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</si>
  <si>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</si>
  <si>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</si>
  <si>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</si>
  <si>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</si>
  <si>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</si>
  <si>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</si>
  <si>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</si>
  <si>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</si>
  <si>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</si>
  <si>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</si>
  <si>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</si>
  <si>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</si>
  <si>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</si>
  <si>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</si>
  <si>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</si>
  <si>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</si>
  <si>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</si>
  <si>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</si>
  <si>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</si>
  <si>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</si>
  <si>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</si>
  <si>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</si>
  <si>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</si>
  <si>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</si>
  <si>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</si>
  <si>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</si>
  <si>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</si>
  <si>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</si>
  <si>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</si>
  <si>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</si>
  <si>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</si>
  <si>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</si>
  <si>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</si>
  <si>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</si>
  <si>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</si>
  <si>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</si>
  <si>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</si>
  <si>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</si>
  <si>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</si>
  <si>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</si>
  <si>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</si>
  <si>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</si>
  <si>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</si>
  <si>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</si>
  <si>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</si>
  <si>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</si>
  <si>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</si>
  <si>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</si>
  <si>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</si>
  <si>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</si>
  <si>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</si>
  <si>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</si>
  <si>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</si>
  <si>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</si>
  <si>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</si>
  <si>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</si>
  <si>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</si>
  <si>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</si>
  <si>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</si>
  <si>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</si>
  <si>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</si>
  <si>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</si>
  <si>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</si>
  <si>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</si>
  <si>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</si>
  <si>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</si>
  <si>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</si>
  <si>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</si>
  <si>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</si>
  <si>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</si>
  <si>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</si>
  <si>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</si>
  <si>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</si>
  <si>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</si>
  <si>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</si>
  <si>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</si>
  <si>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</si>
  <si>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</si>
  <si>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</si>
  <si>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</si>
  <si>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</si>
  <si>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</si>
  <si>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</si>
  <si>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</si>
  <si>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</si>
  <si>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</si>
  <si>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</si>
  <si>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</si>
  <si>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</si>
  <si>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</si>
  <si>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</si>
  <si>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</si>
  <si>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</si>
  <si>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</si>
  <si>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</si>
  <si>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</si>
  <si>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</si>
  <si>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</si>
  <si>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</si>
  <si>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</si>
  <si>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</si>
  <si>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</si>
  <si>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</si>
  <si>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</si>
  <si>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</si>
  <si>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</si>
  <si>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</si>
  <si>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</si>
  <si>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</si>
  <si>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</si>
  <si>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</si>
  <si>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</si>
  <si>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</si>
  <si>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</si>
  <si>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</si>
  <si>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</si>
  <si>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</si>
  <si>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</si>
  <si>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</si>
  <si>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</si>
  <si>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</si>
  <si>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</si>
  <si>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</si>
  <si>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</si>
  <si>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</si>
  <si>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</si>
  <si>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</si>
  <si>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</si>
  <si>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</si>
  <si>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</si>
  <si>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</si>
  <si>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</si>
  <si>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</si>
  <si>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</si>
  <si>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</si>
  <si>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</si>
  <si>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</si>
  <si>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</si>
  <si>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</si>
  <si>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</si>
  <si>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</si>
  <si>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</si>
  <si>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</si>
  <si>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</si>
  <si>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</si>
  <si>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</si>
  <si>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</si>
  <si>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</si>
  <si>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</si>
  <si>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</si>
  <si>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</si>
  <si>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</si>
  <si>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</si>
  <si>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</si>
  <si>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</si>
  <si>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</si>
  <si>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</si>
  <si>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</si>
  <si>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</si>
  <si>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</si>
  <si>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</si>
  <si>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</si>
  <si>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</si>
  <si>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</si>
  <si>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</si>
  <si>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</si>
  <si>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</si>
  <si>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</si>
  <si>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</si>
  <si>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</si>
  <si>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</si>
  <si>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</si>
  <si>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</si>
  <si>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</si>
  <si>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</si>
  <si>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</si>
  <si>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</si>
  <si>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</si>
  <si>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</si>
  <si>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</si>
  <si>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</si>
  <si>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</si>
  <si>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</si>
  <si>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</si>
  <si>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</si>
  <si>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</si>
  <si>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</si>
  <si>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</si>
  <si>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</si>
  <si>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</si>
  <si>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</si>
  <si>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</si>
  <si>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</si>
  <si>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</si>
  <si>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</si>
  <si>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</si>
  <si>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</si>
  <si>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</si>
  <si>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</si>
  <si>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</si>
  <si>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</si>
  <si>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</si>
  <si>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</si>
  <si>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</si>
  <si>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</si>
  <si>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</si>
  <si>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</si>
  <si>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</si>
  <si>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</si>
  <si>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</si>
  <si>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</si>
  <si>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</si>
  <si>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</si>
  <si>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</si>
  <si>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</si>
  <si>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</si>
  <si>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</si>
  <si>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</si>
  <si>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</si>
  <si>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</si>
  <si>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</si>
  <si>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</si>
  <si>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</si>
  <si>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</si>
  <si>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</si>
  <si>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</si>
  <si>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</si>
  <si>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</si>
  <si>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</si>
  <si>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</si>
  <si>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</si>
  <si>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</si>
  <si>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</si>
  <si>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</si>
  <si>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</si>
  <si>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</si>
  <si>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</si>
  <si>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</si>
  <si>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</si>
  <si>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</si>
  <si>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</si>
  <si>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</si>
  <si>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</si>
  <si>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</si>
  <si>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</si>
  <si>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</si>
  <si>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</si>
  <si>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</si>
  <si>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</si>
  <si>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</si>
  <si>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</si>
  <si>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</si>
  <si>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</si>
  <si>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</si>
  <si>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</si>
  <si>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</si>
  <si>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</si>
  <si>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</si>
  <si>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</si>
  <si>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</si>
  <si>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</si>
  <si>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</si>
  <si>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</si>
  <si>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</si>
  <si>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</si>
  <si>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</si>
  <si>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</si>
  <si>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</si>
  <si>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</si>
  <si>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</si>
  <si>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</si>
  <si>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</si>
  <si>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</si>
  <si>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</si>
  <si>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</si>
  <si>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</si>
  <si>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</si>
  <si>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</si>
  <si>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</si>
  <si>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</si>
  <si>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</si>
  <si>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</si>
  <si>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</si>
  <si>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</si>
  <si>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</si>
  <si>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</si>
  <si>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</si>
  <si>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</si>
  <si>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</si>
  <si>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</si>
  <si>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</si>
  <si>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</si>
  <si>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</si>
  <si>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</si>
  <si>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</si>
  <si>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</si>
  <si>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</si>
  <si>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</si>
  <si>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</si>
  <si>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</si>
  <si>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</si>
  <si>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</si>
  <si>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</si>
  <si>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</si>
  <si>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</si>
  <si>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</si>
  <si>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</si>
  <si>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</si>
  <si>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</si>
  <si>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</si>
  <si>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</si>
  <si>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</si>
  <si>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</si>
  <si>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</si>
  <si>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</si>
  <si>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</si>
  <si>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</si>
  <si>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</si>
  <si>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</si>
  <si>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</si>
  <si>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</si>
  <si>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</si>
  <si>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</si>
  <si>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</si>
  <si>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</si>
  <si>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</si>
  <si>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</si>
  <si>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</si>
  <si>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</si>
  <si>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</si>
  <si>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</si>
  <si>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</si>
  <si>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</si>
  <si>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</si>
  <si>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</si>
  <si>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</si>
  <si>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</si>
  <si>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</si>
  <si>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</si>
  <si>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</si>
  <si>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</si>
  <si>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</si>
  <si>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</si>
  <si>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</si>
  <si>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</si>
  <si>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</si>
  <si>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</si>
  <si>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</si>
  <si>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</si>
  <si>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</si>
  <si>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</si>
  <si>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</si>
  <si>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</si>
  <si>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</si>
  <si>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</si>
  <si>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</si>
  <si>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</si>
  <si>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</si>
  <si>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</si>
  <si>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</si>
  <si>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</si>
  <si>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</si>
  <si>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</si>
  <si>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</si>
  <si>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</si>
  <si>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</si>
  <si>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</si>
  <si>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</si>
  <si>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</si>
  <si>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</si>
  <si>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</si>
  <si>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</si>
  <si>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</si>
  <si>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</si>
  <si>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</si>
  <si>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</si>
  <si>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</si>
  <si>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</si>
  <si>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</si>
  <si>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</si>
  <si>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</si>
  <si>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</si>
  <si>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</si>
  <si>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</si>
  <si>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</si>
  <si>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</si>
  <si>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</si>
  <si>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</si>
  <si>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</si>
  <si>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</si>
  <si>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</si>
  <si>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</si>
  <si>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</si>
  <si>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</si>
  <si>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</si>
  <si>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</si>
  <si>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</si>
  <si>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</si>
  <si>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</si>
  <si>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</si>
  <si>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</si>
  <si>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</si>
  <si>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</si>
  <si>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</si>
  <si>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</si>
  <si>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</si>
  <si>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</si>
  <si>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</si>
  <si>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</si>
  <si>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</si>
  <si>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</si>
  <si>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</si>
  <si>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</si>
  <si>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</si>
  <si>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</si>
  <si>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</si>
  <si>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</si>
  <si>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</si>
  <si>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</si>
  <si>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</si>
  <si>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</si>
  <si>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</si>
  <si>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</si>
  <si>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</si>
  <si>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</si>
  <si>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</si>
  <si>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</si>
  <si>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</si>
  <si>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</si>
  <si>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</si>
  <si>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</si>
  <si>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</si>
  <si>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</si>
  <si>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</si>
  <si>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</si>
  <si>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</si>
  <si>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</si>
  <si>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</si>
  <si>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</si>
  <si>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</si>
  <si>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</si>
  <si>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</si>
  <si>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</si>
  <si>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</si>
  <si>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</si>
  <si>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</si>
  <si>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</si>
  <si>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</si>
  <si>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</si>
  <si>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</si>
  <si>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</si>
  <si>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</si>
  <si>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</si>
  <si>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</si>
  <si>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</si>
  <si>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</si>
  <si>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</si>
  <si>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</si>
  <si>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</si>
  <si>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</si>
  <si>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</si>
  <si>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</si>
  <si>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</si>
  <si>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</si>
  <si>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</si>
  <si>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</si>
  <si>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</si>
  <si>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</si>
  <si>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</si>
  <si>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</si>
  <si>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</si>
  <si>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</si>
  <si>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</si>
  <si>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</si>
  <si>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</si>
  <si>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</si>
  <si>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</si>
  <si>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</si>
  <si>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</si>
  <si>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</si>
  <si>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</si>
  <si>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</si>
  <si>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</si>
  <si>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</si>
  <si>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</si>
  <si>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</si>
  <si>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</si>
  <si>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</si>
  <si>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</si>
  <si>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</si>
  <si>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</si>
  <si>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</si>
  <si>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</si>
  <si>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</si>
  <si>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</si>
  <si>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</si>
  <si>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</si>
  <si>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</si>
  <si>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</si>
  <si>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</si>
  <si>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</si>
  <si>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</si>
  <si>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</si>
  <si>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</si>
  <si>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</si>
  <si>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</si>
  <si>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</si>
  <si>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</si>
  <si>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</si>
  <si>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</si>
  <si>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</si>
  <si>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</si>
  <si>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</si>
  <si>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</si>
  <si>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</si>
  <si>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</si>
  <si>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</si>
  <si>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</si>
  <si>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</si>
  <si>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</si>
  <si>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</si>
  <si>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</si>
  <si>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</si>
  <si>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</si>
  <si>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</si>
  <si>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</si>
  <si>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</si>
  <si>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</si>
  <si>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</si>
  <si>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</si>
  <si>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</si>
  <si>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</si>
  <si>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</si>
  <si>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</si>
  <si>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</si>
  <si>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</si>
  <si>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</si>
  <si>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</si>
  <si>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</si>
  <si>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</si>
  <si>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</si>
  <si>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</si>
  <si>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</si>
  <si>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</si>
  <si>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</si>
  <si>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</si>
  <si>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</si>
  <si>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</si>
  <si>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</si>
  <si>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</si>
  <si>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</si>
  <si>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</si>
  <si>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</si>
  <si>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</si>
  <si>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</si>
  <si>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</si>
  <si>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</si>
  <si>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</si>
  <si>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</si>
  <si>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</si>
  <si>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</si>
  <si>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</si>
  <si>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</si>
  <si>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</si>
  <si>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</si>
  <si>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</si>
  <si>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</si>
  <si>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</si>
  <si>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</si>
  <si>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</si>
  <si>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</si>
  <si>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</si>
  <si>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</si>
  <si>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</si>
  <si>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</si>
  <si>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</si>
  <si>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</si>
  <si>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</si>
  <si>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</si>
  <si>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</si>
  <si>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</si>
  <si>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</si>
  <si>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</si>
  <si>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</si>
  <si>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</si>
  <si>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</si>
  <si>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</si>
  <si>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</si>
  <si>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</si>
  <si>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</si>
  <si>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</si>
  <si>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</si>
  <si>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</si>
  <si>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</si>
  <si>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</si>
  <si>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</si>
  <si>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</si>
  <si>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</si>
  <si>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</si>
  <si>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</si>
  <si>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</si>
  <si>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</si>
  <si>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</si>
  <si>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</si>
  <si>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</si>
  <si>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</si>
  <si>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</si>
  <si>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</si>
  <si>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</si>
  <si>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</si>
  <si>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</si>
  <si>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</si>
  <si>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</si>
  <si>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</si>
  <si>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</si>
  <si>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</si>
  <si>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</si>
  <si>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</si>
  <si>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</si>
  <si>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</si>
  <si>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</si>
  <si>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</si>
  <si>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</si>
  <si>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</si>
  <si>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</si>
  <si>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</si>
  <si>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</si>
  <si>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</si>
  <si>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</si>
  <si>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</si>
  <si>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</si>
  <si>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</si>
  <si>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</si>
  <si>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</si>
  <si>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</si>
  <si>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</si>
  <si>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</si>
  <si>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</si>
  <si>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</si>
  <si>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</si>
  <si>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</si>
  <si>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</si>
  <si>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</si>
  <si>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</si>
  <si>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</si>
  <si>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</si>
  <si>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</si>
  <si>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</si>
  <si>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</si>
  <si>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</si>
  <si>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</si>
  <si>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</si>
  <si>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</si>
  <si>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</si>
  <si>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</si>
  <si>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</si>
  <si>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</si>
  <si>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</si>
  <si>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</si>
  <si>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</si>
  <si>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</si>
  <si>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</si>
  <si>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</si>
  <si>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</si>
  <si>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</si>
  <si>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</si>
  <si>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</si>
  <si>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</si>
  <si>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</si>
  <si>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</si>
  <si>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</si>
  <si>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</si>
  <si>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</si>
  <si>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</si>
  <si>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</si>
  <si>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</si>
  <si>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</si>
  <si>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</si>
  <si>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</si>
  <si>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</si>
  <si>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</si>
  <si>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</si>
  <si>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</si>
  <si>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</si>
  <si>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</si>
  <si>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</si>
  <si>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</si>
  <si>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</si>
  <si>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</si>
  <si>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</si>
  <si>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</si>
  <si>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</si>
  <si>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</si>
  <si>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</si>
  <si>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</si>
  <si>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</si>
  <si>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</si>
  <si>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</si>
  <si>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</si>
  <si>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</si>
  <si>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</si>
  <si>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</si>
  <si>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</si>
  <si>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</si>
  <si>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</si>
  <si>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</si>
  <si>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</si>
  <si>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</si>
  <si>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</si>
  <si>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</si>
  <si>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</si>
  <si>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</si>
  <si>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</si>
  <si>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</si>
  <si>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</si>
  <si>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</si>
  <si>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</si>
  <si>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</si>
  <si>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</si>
  <si>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</si>
  <si>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</si>
  <si>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</si>
  <si>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</si>
  <si>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</si>
  <si>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</si>
  <si>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</si>
  <si>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</si>
  <si>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</si>
  <si>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</si>
  <si>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</si>
  <si>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</si>
  <si>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</si>
  <si>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</si>
  <si>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</si>
  <si>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</si>
  <si>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</si>
  <si>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</si>
  <si>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</si>
  <si>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</si>
  <si>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</si>
  <si>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</si>
  <si>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</si>
  <si>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</si>
  <si>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</si>
  <si>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</si>
  <si>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</si>
  <si>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</si>
  <si>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</si>
  <si>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</si>
  <si>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</si>
  <si>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</si>
  <si>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</si>
  <si>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</si>
  <si>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</si>
  <si>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</si>
  <si>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</si>
  <si>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</si>
  <si>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</si>
  <si>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</si>
  <si>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</si>
  <si>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</si>
  <si>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</si>
  <si>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</si>
  <si>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</si>
  <si>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</si>
  <si>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</si>
  <si>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</si>
  <si>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</si>
  <si>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</si>
  <si>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</si>
  <si>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</si>
  <si>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</si>
  <si>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</si>
  <si>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</si>
  <si>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</si>
  <si>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</si>
  <si>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</si>
  <si>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</si>
  <si>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</si>
  <si>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</si>
  <si>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</si>
  <si>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</si>
  <si>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</si>
  <si>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</si>
  <si>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</si>
  <si>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</si>
  <si>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</si>
  <si>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</si>
  <si>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</si>
  <si>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</si>
  <si>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</si>
  <si>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</si>
  <si>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</si>
  <si>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</si>
  <si>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</si>
  <si>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</si>
  <si>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</si>
  <si>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</si>
  <si>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</si>
  <si>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</si>
  <si>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</si>
  <si>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</si>
  <si>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</si>
  <si>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</si>
  <si>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</si>
  <si>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</si>
  <si>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</si>
  <si>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</si>
  <si>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</si>
  <si>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</si>
  <si>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</si>
  <si>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</si>
  <si>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</si>
  <si>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</si>
  <si>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</si>
  <si>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</si>
  <si>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</si>
  <si>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</si>
  <si>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</si>
  <si>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</si>
  <si>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</si>
  <si>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</si>
  <si>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</si>
  <si>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</si>
  <si>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</si>
  <si>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</si>
  <si>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</si>
  <si>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</si>
  <si>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</si>
  <si>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</si>
  <si>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</si>
  <si>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</si>
  <si>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</si>
  <si>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</si>
  <si>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</si>
  <si>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</si>
  <si>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</si>
  <si>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</si>
  <si>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</si>
  <si>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</si>
  <si>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</si>
  <si>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</si>
  <si>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</si>
  <si>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</si>
  <si>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</si>
  <si>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</si>
  <si>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</si>
  <si>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</si>
  <si>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</si>
  <si>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</si>
  <si>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</si>
  <si>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</si>
  <si>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</si>
  <si>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</si>
  <si>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</si>
  <si>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</si>
  <si>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</si>
  <si>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</si>
  <si>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</si>
  <si>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</si>
  <si>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</si>
  <si>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</si>
  <si>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</si>
  <si>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</si>
  <si>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</si>
  <si>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</si>
  <si>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</si>
  <si>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</si>
  <si>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</si>
  <si>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</si>
  <si>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</si>
  <si>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</si>
  <si>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</si>
  <si>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</si>
  <si>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</si>
  <si>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</si>
  <si>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</si>
  <si>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</si>
  <si>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</si>
  <si>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</si>
  <si>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</si>
  <si>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</si>
  <si>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</si>
  <si>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</si>
  <si>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</si>
  <si>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</si>
  <si>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</si>
  <si>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</si>
  <si>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</si>
  <si>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</si>
  <si>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</si>
  <si>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</si>
  <si>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</si>
  <si>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</si>
  <si>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</si>
  <si>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</si>
  <si>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</si>
  <si>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</si>
  <si>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</si>
  <si>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</si>
  <si>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</si>
  <si>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</si>
  <si>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</si>
  <si>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</si>
  <si>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</si>
  <si>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</si>
  <si>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</si>
  <si>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</si>
  <si>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</si>
  <si>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</si>
  <si>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</si>
  <si>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</si>
  <si>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</si>
  <si>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</si>
  <si>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</si>
  <si>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</si>
  <si>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</si>
  <si>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</si>
  <si>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</si>
  <si>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</si>
  <si>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</si>
  <si>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</si>
  <si>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</si>
  <si>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</si>
  <si>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</si>
  <si>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</si>
  <si>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</si>
  <si>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</si>
  <si>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</si>
  <si>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</si>
  <si>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</si>
  <si>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</si>
  <si>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</si>
  <si>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</si>
  <si>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</si>
  <si>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</si>
  <si>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</si>
  <si>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</si>
  <si>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</si>
  <si>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</si>
  <si>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</si>
  <si>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</si>
  <si>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</si>
  <si>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</si>
  <si>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</si>
  <si>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</si>
  <si>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</si>
  <si>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</si>
  <si>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</si>
  <si>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</si>
  <si>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</si>
  <si>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</si>
  <si>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</si>
  <si>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</si>
  <si>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</si>
  <si>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</si>
  <si>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</si>
  <si>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</si>
  <si>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</si>
  <si>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</si>
  <si>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</si>
  <si>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</si>
  <si>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</si>
  <si>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</si>
  <si>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</si>
  <si>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</si>
  <si>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</si>
  <si>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</si>
  <si>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</si>
  <si>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</si>
  <si>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</si>
  <si>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</si>
  <si>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</si>
  <si>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</si>
  <si>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</si>
  <si>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</si>
  <si>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</si>
  <si>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</si>
  <si>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</si>
  <si>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</si>
  <si>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</si>
  <si>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</si>
  <si>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</si>
  <si>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</si>
  <si>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</si>
  <si>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</si>
  <si>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</si>
  <si>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</si>
  <si>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</si>
  <si>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</si>
  <si>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</si>
  <si>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</si>
  <si>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</si>
  <si>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</si>
  <si>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</si>
  <si>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</si>
  <si>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</si>
  <si>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</si>
  <si>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</si>
  <si>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</si>
  <si>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</si>
  <si>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</si>
  <si>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</si>
  <si>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</si>
  <si>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</si>
  <si>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</si>
  <si>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</si>
  <si>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</si>
  <si>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</si>
  <si>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</si>
  <si>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</si>
  <si>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</si>
  <si>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</si>
  <si>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</si>
  <si>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</si>
  <si>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</si>
  <si>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</si>
  <si>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</si>
  <si>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</si>
  <si>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</si>
  <si>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</si>
  <si>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</si>
  <si>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</si>
  <si>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</si>
  <si>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</si>
  <si>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</si>
  <si>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</si>
  <si>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</si>
  <si>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</si>
  <si>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</si>
  <si>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</si>
  <si>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</si>
  <si>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</si>
  <si>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</si>
  <si>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</si>
  <si>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</si>
  <si>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</si>
  <si>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</si>
  <si>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</si>
  <si>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</si>
  <si>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</si>
  <si>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</si>
  <si>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</si>
  <si>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</si>
  <si>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</si>
  <si>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</si>
  <si>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</si>
  <si>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</si>
  <si>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</si>
  <si>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</si>
  <si>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</si>
  <si>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</si>
  <si>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</si>
  <si>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</si>
  <si>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</si>
  <si>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</si>
  <si>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</si>
  <si>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</si>
  <si>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</si>
  <si>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</si>
  <si>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</si>
  <si>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</si>
  <si>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</si>
  <si>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</si>
  <si>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</si>
  <si>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</si>
  <si>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</si>
  <si>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</si>
  <si>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</si>
  <si>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</si>
  <si>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</si>
  <si>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</si>
  <si>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</si>
  <si>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</si>
  <si>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</si>
  <si>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</si>
  <si>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</si>
  <si>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</si>
  <si>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</si>
  <si>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</si>
  <si>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</si>
  <si>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</si>
  <si>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</si>
  <si>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</si>
  <si>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</si>
  <si>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</si>
  <si>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</si>
  <si>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</si>
  <si>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</si>
  <si>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</si>
  <si>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</si>
  <si>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</si>
  <si>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</si>
  <si>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</si>
  <si>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</si>
  <si>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</si>
  <si>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</si>
  <si>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</si>
  <si>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</si>
  <si>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</si>
  <si>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</si>
  <si>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</si>
  <si>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</si>
  <si>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</si>
  <si>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</si>
  <si>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</si>
  <si>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</si>
  <si>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</si>
  <si>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</si>
  <si>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</si>
  <si>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</si>
  <si>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</si>
  <si>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</si>
  <si>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</si>
  <si>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</si>
  <si>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</si>
  <si>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</si>
  <si>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</si>
  <si>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</si>
  <si>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</si>
  <si>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</si>
  <si>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</si>
  <si>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</si>
  <si>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</si>
  <si>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</si>
  <si>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</si>
  <si>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</si>
  <si>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</si>
  <si>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</si>
  <si>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</si>
  <si>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</si>
  <si>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</si>
  <si>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</si>
  <si>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</si>
  <si>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</si>
  <si>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</si>
  <si>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</si>
  <si>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</si>
  <si>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</si>
  <si>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</si>
  <si>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</si>
  <si>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</si>
  <si>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</si>
  <si>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</si>
  <si>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</si>
  <si>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</si>
  <si>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</si>
  <si>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</si>
  <si>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</si>
  <si>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</si>
  <si>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</si>
  <si>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</si>
  <si>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</si>
  <si>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</si>
  <si>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</si>
  <si>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</si>
  <si>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</si>
  <si>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</si>
  <si>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</si>
  <si>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</si>
  <si>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</si>
  <si>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</si>
  <si>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</si>
  <si>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</si>
  <si>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</si>
  <si>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</si>
  <si>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</si>
  <si>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</si>
  <si>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Test Digital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</si>
</sst>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8"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
      <sz val="9"/>
      <color indexed="81"/>
      <name val="Tahoma"/>
      <charset val="1"/>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lignment horizontal="left" vertical="top" indent="4"/>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6" fillId="16" borderId="0" xfId="0" applyFont="1" applyFill="1" applyAlignment="1" applyProtection="1">
      <alignment horizontal="left"/>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22" fillId="16" borderId="0" xfId="0" applyFont="1" applyFill="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6" fillId="16" borderId="206" xfId="0" quotePrefix="1" applyFont="1" applyFill="1" applyBorder="1" applyAlignment="1">
      <alignment horizontal="center" vertical="top" wrapText="1"/>
    </xf>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12" t="s">
        <v>2360</v>
      </c>
      <c r="C8" s="1612"/>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11" t="s">
        <v>6</v>
      </c>
      <c r="C11" s="1611"/>
      <c r="D11" s="854"/>
      <c r="E11" s="854"/>
      <c r="F11" s="773"/>
      <c r="H11" s="771"/>
      <c r="W11" s="772"/>
    </row>
    <row r="12" spans="1:30" ht="14" x14ac:dyDescent="0.35">
      <c r="A12" s="769"/>
      <c r="B12" s="1611" t="s">
        <v>2359</v>
      </c>
      <c r="C12" s="1611"/>
      <c r="H12" s="476"/>
      <c r="W12" s="772"/>
    </row>
    <row r="13" spans="1:30" ht="14" customHeight="1" x14ac:dyDescent="0.35">
      <c r="A13" s="769"/>
      <c r="B13" s="1611" t="s">
        <v>2356</v>
      </c>
      <c r="C13" s="1611"/>
      <c r="H13" s="476"/>
      <c r="U13" s="774"/>
      <c r="W13" s="772"/>
    </row>
    <row r="14" spans="1:30" ht="14" customHeight="1" x14ac:dyDescent="0.35">
      <c r="A14" s="769"/>
      <c r="B14" s="1611" t="s">
        <v>3</v>
      </c>
      <c r="C14" s="1611"/>
      <c r="G14" s="775"/>
      <c r="H14" s="476"/>
      <c r="U14" s="770"/>
      <c r="W14" s="772"/>
    </row>
    <row r="15" spans="1:30" ht="14" customHeight="1" x14ac:dyDescent="0.35">
      <c r="A15" s="769"/>
      <c r="B15" s="1611" t="s">
        <v>5</v>
      </c>
      <c r="C15" s="1611"/>
      <c r="H15" s="476"/>
      <c r="U15" s="407"/>
      <c r="W15" s="772"/>
    </row>
    <row r="16" spans="1:30" ht="14" x14ac:dyDescent="0.35">
      <c r="A16" s="769"/>
      <c r="B16" s="1615" t="s">
        <v>2354</v>
      </c>
      <c r="C16" s="1615"/>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13" t="s">
        <v>2365</v>
      </c>
      <c r="C19" s="1613"/>
      <c r="H19" s="476"/>
      <c r="W19" s="772"/>
    </row>
    <row r="20" spans="1:23" ht="14" x14ac:dyDescent="0.35">
      <c r="A20" s="769"/>
      <c r="B20" s="1613" t="s">
        <v>2362</v>
      </c>
      <c r="C20" s="1613"/>
      <c r="H20" s="476"/>
      <c r="W20" s="772"/>
    </row>
    <row r="21" spans="1:23" ht="14" x14ac:dyDescent="0.35">
      <c r="A21" s="769"/>
      <c r="B21" s="1618" t="s">
        <v>2395</v>
      </c>
      <c r="C21" s="1619"/>
      <c r="H21" s="476"/>
      <c r="W21" s="772"/>
    </row>
    <row r="22" spans="1:23" ht="14" x14ac:dyDescent="0.35">
      <c r="A22" s="769"/>
      <c r="B22" s="1618" t="s">
        <v>2396</v>
      </c>
      <c r="C22" s="1619"/>
      <c r="H22" s="476"/>
      <c r="W22" s="772"/>
    </row>
    <row r="23" spans="1:23" ht="14" x14ac:dyDescent="0.35">
      <c r="A23" s="769"/>
      <c r="B23" s="1618" t="s">
        <v>2397</v>
      </c>
      <c r="C23" s="1619"/>
      <c r="H23" s="476"/>
      <c r="W23" s="772"/>
    </row>
    <row r="24" spans="1:23" ht="14" x14ac:dyDescent="0.35">
      <c r="A24" s="769"/>
      <c r="B24" s="1618" t="s">
        <v>2398</v>
      </c>
      <c r="C24" s="1619"/>
      <c r="W24" s="772"/>
    </row>
    <row r="25" spans="1:23" ht="14" x14ac:dyDescent="0.35">
      <c r="A25" s="769"/>
      <c r="B25" s="1616" t="s">
        <v>3188</v>
      </c>
      <c r="C25" s="1617"/>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14"/>
      <c r="F31" s="1614"/>
      <c r="G31" s="1614"/>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29" sqref="C29"/>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24" t="s">
        <v>0</v>
      </c>
      <c r="E2" s="1625"/>
      <c r="F2" s="1626"/>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41" t="s">
        <v>3250</v>
      </c>
      <c r="C7" s="1641"/>
      <c r="D7" s="1641"/>
      <c r="E7" s="1641"/>
      <c r="F7" s="1641"/>
      <c r="G7" s="848"/>
      <c r="H7" s="848"/>
      <c r="I7" s="848"/>
      <c r="L7" s="847"/>
    </row>
    <row r="8" spans="2:15" s="624" customFormat="1" ht="14" x14ac:dyDescent="0.35">
      <c r="B8" s="1647" t="s">
        <v>2310</v>
      </c>
      <c r="C8" s="1647"/>
      <c r="D8" s="1647"/>
      <c r="E8" s="1647"/>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48" t="s">
        <v>3252</v>
      </c>
      <c r="C10" s="1648"/>
      <c r="D10" s="1648"/>
      <c r="E10" s="1648"/>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32" t="s">
        <v>2167</v>
      </c>
      <c r="C16" s="1633"/>
      <c r="I16" s="413"/>
      <c r="J16" s="395"/>
      <c r="K16" s="395"/>
      <c r="L16" s="405"/>
    </row>
    <row r="17" spans="2:12" ht="20" customHeight="1" x14ac:dyDescent="0.35">
      <c r="B17" s="865" t="s">
        <v>15</v>
      </c>
      <c r="C17" s="866" t="s">
        <v>295</v>
      </c>
      <c r="D17" s="831"/>
      <c r="E17" s="1627" t="s">
        <v>2269</v>
      </c>
      <c r="F17" s="1628"/>
      <c r="G17" s="418"/>
      <c r="I17" s="416"/>
      <c r="J17" s="416"/>
      <c r="K17" s="416"/>
      <c r="L17" s="413"/>
    </row>
    <row r="18" spans="2:12" ht="24.5" customHeight="1" x14ac:dyDescent="0.35">
      <c r="B18" s="867" t="s">
        <v>1304</v>
      </c>
      <c r="C18" s="868" t="s">
        <v>1431</v>
      </c>
      <c r="D18" s="419"/>
      <c r="E18" s="1629"/>
      <c r="F18" s="1630"/>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2054">
        <v>1324</v>
      </c>
      <c r="D22" s="419"/>
      <c r="E22" s="1272" t="s">
        <v>2240</v>
      </c>
      <c r="F22" s="1268" t="s">
        <v>1279</v>
      </c>
      <c r="I22" s="413"/>
      <c r="J22" s="413"/>
      <c r="K22" s="413"/>
      <c r="L22" s="413"/>
    </row>
    <row r="23" spans="2:12" ht="20" customHeight="1" x14ac:dyDescent="0.35">
      <c r="B23" s="869" t="s">
        <v>22</v>
      </c>
      <c r="C23" s="868" t="s">
        <v>3691</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278</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2195</v>
      </c>
      <c r="J31" s="395"/>
      <c r="K31" s="398"/>
    </row>
    <row r="32" spans="2:12" ht="20" customHeight="1" x14ac:dyDescent="0.35">
      <c r="B32" s="867" t="s">
        <v>2366</v>
      </c>
      <c r="C32" s="872" t="s">
        <v>2194</v>
      </c>
      <c r="D32" s="420"/>
      <c r="J32" s="395"/>
      <c r="K32" s="398"/>
    </row>
    <row r="33" spans="2:15" ht="26.25" customHeight="1" x14ac:dyDescent="0.35">
      <c r="B33" s="797" t="s">
        <v>2349</v>
      </c>
      <c r="C33" s="1649"/>
      <c r="D33" s="1649"/>
      <c r="E33" s="1649"/>
      <c r="F33" s="1649"/>
      <c r="G33" s="403"/>
      <c r="H33" s="403"/>
      <c r="I33" s="403"/>
      <c r="J33" s="427"/>
      <c r="K33" s="428"/>
      <c r="L33" s="403"/>
      <c r="M33" s="403"/>
      <c r="N33" s="428"/>
      <c r="O33" s="428"/>
    </row>
    <row r="34" spans="2:15" s="624" customFormat="1" ht="29" customHeight="1" x14ac:dyDescent="0.35">
      <c r="B34" s="1643" t="s">
        <v>2375</v>
      </c>
      <c r="C34" s="1643"/>
      <c r="D34" s="1643"/>
      <c r="E34" s="1643"/>
      <c r="F34" s="1643"/>
      <c r="G34" s="1262"/>
      <c r="H34" s="1262"/>
    </row>
    <row r="35" spans="2:15" s="624" customFormat="1" ht="29.5" customHeight="1" x14ac:dyDescent="0.35">
      <c r="B35" s="1644" t="s">
        <v>3200</v>
      </c>
      <c r="C35" s="1644"/>
      <c r="D35" s="1644"/>
      <c r="E35" s="1644"/>
      <c r="F35" s="1644"/>
      <c r="G35" s="1262"/>
      <c r="H35" s="1262"/>
    </row>
    <row r="36" spans="2:15" ht="14" x14ac:dyDescent="0.3">
      <c r="B36" s="1262"/>
      <c r="C36" s="1262"/>
      <c r="D36" s="1262"/>
      <c r="E36" s="1262"/>
      <c r="F36" s="1262"/>
      <c r="G36" s="1262"/>
      <c r="H36" s="1262"/>
      <c r="J36" s="395"/>
      <c r="K36" s="395"/>
      <c r="N36" s="395"/>
      <c r="O36" s="395"/>
    </row>
    <row r="37" spans="2:15" ht="16" customHeight="1" x14ac:dyDescent="0.35">
      <c r="B37" s="1634" t="s">
        <v>2313</v>
      </c>
      <c r="C37" s="1635"/>
      <c r="D37" s="397"/>
      <c r="E37" s="412"/>
      <c r="H37" s="397"/>
      <c r="I37" s="412"/>
      <c r="K37" s="395"/>
      <c r="L37" s="429"/>
      <c r="M37" s="429"/>
    </row>
    <row r="38" spans="2:15" x14ac:dyDescent="0.35">
      <c r="B38" s="1622" t="s">
        <v>3178</v>
      </c>
      <c r="C38" s="1623"/>
      <c r="D38" s="430"/>
      <c r="E38" s="1631"/>
      <c r="F38" s="431"/>
      <c r="G38" s="432"/>
      <c r="H38" s="397"/>
      <c r="I38" s="433"/>
      <c r="J38" s="433"/>
      <c r="K38" s="433"/>
      <c r="L38" s="433"/>
      <c r="M38" s="433"/>
    </row>
    <row r="39" spans="2:15" x14ac:dyDescent="0.35">
      <c r="B39" s="1636" t="s">
        <v>3179</v>
      </c>
      <c r="C39" s="1637"/>
      <c r="D39" s="430"/>
      <c r="E39" s="1631"/>
      <c r="F39" s="431"/>
      <c r="G39" s="432"/>
      <c r="H39" s="397"/>
      <c r="I39" s="434"/>
      <c r="J39" s="432"/>
      <c r="K39" s="425"/>
      <c r="L39" s="432"/>
      <c r="M39" s="435"/>
    </row>
    <row r="40" spans="2:15" ht="17.25" customHeight="1" x14ac:dyDescent="0.35">
      <c r="B40" s="1636" t="s">
        <v>3180</v>
      </c>
      <c r="C40" s="1637"/>
      <c r="D40" s="430"/>
      <c r="E40" s="1631"/>
      <c r="F40" s="431"/>
      <c r="G40" s="432"/>
      <c r="H40" s="397"/>
      <c r="I40" s="434"/>
      <c r="J40" s="432"/>
      <c r="K40" s="425"/>
      <c r="L40" s="432"/>
      <c r="M40" s="435"/>
    </row>
    <row r="41" spans="2:15" x14ac:dyDescent="0.35">
      <c r="B41" s="1636" t="s">
        <v>3181</v>
      </c>
      <c r="C41" s="1637"/>
      <c r="D41" s="430"/>
      <c r="E41" s="1631"/>
      <c r="F41" s="436"/>
      <c r="G41" s="432"/>
      <c r="H41" s="397"/>
      <c r="I41" s="434"/>
      <c r="J41" s="432"/>
      <c r="K41" s="425"/>
      <c r="L41" s="432"/>
      <c r="M41" s="435"/>
    </row>
    <row r="42" spans="2:15" x14ac:dyDescent="0.35">
      <c r="B42" s="1636" t="s">
        <v>3182</v>
      </c>
      <c r="C42" s="1637"/>
      <c r="D42" s="430"/>
      <c r="E42" s="1631"/>
      <c r="F42" s="436"/>
      <c r="G42" s="432"/>
      <c r="H42" s="397"/>
      <c r="I42" s="434"/>
      <c r="J42" s="432"/>
      <c r="K42" s="425"/>
      <c r="L42" s="432"/>
      <c r="M42" s="435"/>
    </row>
    <row r="43" spans="2:15" x14ac:dyDescent="0.35">
      <c r="B43" s="1636" t="s">
        <v>3183</v>
      </c>
      <c r="C43" s="1637"/>
      <c r="D43" s="430"/>
      <c r="E43" s="1631"/>
      <c r="F43" s="436"/>
      <c r="G43" s="432"/>
      <c r="H43" s="397"/>
      <c r="I43" s="434"/>
      <c r="J43" s="432"/>
      <c r="K43" s="425"/>
      <c r="L43" s="432"/>
      <c r="M43" s="435"/>
    </row>
    <row r="44" spans="2:15" x14ac:dyDescent="0.35">
      <c r="B44" s="1620" t="s">
        <v>2242</v>
      </c>
      <c r="C44" s="1621"/>
      <c r="D44" s="430"/>
      <c r="E44" s="1631"/>
      <c r="F44" s="436"/>
      <c r="G44" s="432"/>
      <c r="H44" s="397"/>
      <c r="I44" s="434"/>
      <c r="J44" s="432"/>
      <c r="K44" s="437"/>
      <c r="L44" s="432"/>
      <c r="M44" s="435"/>
    </row>
    <row r="45" spans="2:15" x14ac:dyDescent="0.35">
      <c r="B45" s="1620" t="s">
        <v>2243</v>
      </c>
      <c r="C45" s="1621"/>
      <c r="D45" s="430"/>
      <c r="E45" s="1631"/>
      <c r="F45" s="436"/>
      <c r="G45" s="432"/>
      <c r="H45" s="397"/>
      <c r="I45" s="438"/>
      <c r="J45" s="432"/>
      <c r="K45" s="437"/>
      <c r="L45" s="432"/>
      <c r="M45" s="437"/>
    </row>
    <row r="46" spans="2:15" x14ac:dyDescent="0.35">
      <c r="B46" s="1620" t="s">
        <v>2244</v>
      </c>
      <c r="C46" s="1621"/>
      <c r="D46" s="430"/>
      <c r="E46" s="1631"/>
      <c r="F46" s="436"/>
      <c r="G46" s="432"/>
      <c r="H46" s="397"/>
      <c r="J46" s="397"/>
      <c r="K46" s="395"/>
    </row>
    <row r="47" spans="2:15" x14ac:dyDescent="0.35">
      <c r="B47" s="1620" t="s">
        <v>2245</v>
      </c>
      <c r="C47" s="1621"/>
      <c r="D47" s="430"/>
      <c r="E47" s="1631"/>
      <c r="F47" s="436"/>
      <c r="G47" s="432"/>
      <c r="H47" s="397"/>
      <c r="I47" s="439"/>
      <c r="J47" s="395"/>
      <c r="K47" s="395"/>
    </row>
    <row r="48" spans="2:15" x14ac:dyDescent="0.35">
      <c r="B48" s="1620" t="s">
        <v>2246</v>
      </c>
      <c r="C48" s="1621"/>
      <c r="D48" s="430"/>
      <c r="E48" s="440"/>
      <c r="F48" s="441"/>
      <c r="G48" s="442"/>
      <c r="H48" s="397"/>
      <c r="I48" s="413"/>
      <c r="J48" s="443"/>
      <c r="K48" s="443"/>
      <c r="L48" s="413"/>
      <c r="M48" s="413"/>
    </row>
    <row r="49" spans="2:15" x14ac:dyDescent="0.35">
      <c r="B49" s="1620" t="s">
        <v>2247</v>
      </c>
      <c r="C49" s="1621"/>
      <c r="D49" s="430"/>
      <c r="E49" s="440"/>
      <c r="F49" s="441"/>
      <c r="G49" s="442"/>
      <c r="H49" s="397"/>
      <c r="I49" s="413"/>
      <c r="J49" s="443"/>
      <c r="K49" s="443"/>
      <c r="L49" s="413"/>
      <c r="M49" s="413"/>
    </row>
    <row r="50" spans="2:15" x14ac:dyDescent="0.35">
      <c r="B50" s="1620" t="s">
        <v>2248</v>
      </c>
      <c r="C50" s="1621"/>
      <c r="D50" s="430"/>
      <c r="E50" s="440"/>
      <c r="F50" s="441"/>
      <c r="G50" s="442"/>
      <c r="H50" s="397"/>
      <c r="I50" s="413"/>
      <c r="J50" s="443"/>
      <c r="K50" s="443"/>
      <c r="L50" s="413"/>
      <c r="M50" s="413"/>
    </row>
    <row r="51" spans="2:15" x14ac:dyDescent="0.35">
      <c r="B51" s="1620" t="s">
        <v>2249</v>
      </c>
      <c r="C51" s="1621"/>
      <c r="D51" s="430"/>
      <c r="E51" s="440"/>
      <c r="F51" s="441"/>
      <c r="G51" s="442"/>
      <c r="H51" s="397"/>
      <c r="I51" s="413"/>
      <c r="J51" s="443"/>
      <c r="K51" s="443"/>
      <c r="L51" s="413"/>
      <c r="M51" s="413"/>
    </row>
    <row r="52" spans="2:15" x14ac:dyDescent="0.35">
      <c r="B52" s="1620" t="s">
        <v>2250</v>
      </c>
      <c r="C52" s="1621"/>
      <c r="D52" s="430"/>
      <c r="E52" s="440"/>
      <c r="F52" s="441"/>
      <c r="G52" s="442"/>
      <c r="H52" s="397"/>
      <c r="I52" s="413"/>
      <c r="J52" s="443"/>
      <c r="K52" s="443"/>
      <c r="L52" s="413"/>
      <c r="M52" s="413"/>
    </row>
    <row r="53" spans="2:15" x14ac:dyDescent="0.35">
      <c r="B53" s="1620" t="s">
        <v>2251</v>
      </c>
      <c r="C53" s="1621"/>
      <c r="D53" s="430"/>
      <c r="E53" s="440"/>
      <c r="F53" s="441"/>
      <c r="G53" s="442"/>
      <c r="H53" s="397"/>
      <c r="I53" s="413"/>
      <c r="J53" s="443"/>
      <c r="K53" s="443"/>
      <c r="L53" s="413"/>
      <c r="M53" s="413"/>
    </row>
    <row r="54" spans="2:15" x14ac:dyDescent="0.35">
      <c r="B54" s="1620" t="s">
        <v>2252</v>
      </c>
      <c r="C54" s="1621"/>
      <c r="D54" s="430"/>
      <c r="E54" s="440"/>
      <c r="F54" s="441"/>
      <c r="G54" s="442"/>
      <c r="H54" s="397"/>
      <c r="I54" s="413"/>
      <c r="J54" s="443"/>
      <c r="K54" s="443"/>
      <c r="L54" s="413"/>
      <c r="M54" s="413"/>
    </row>
    <row r="55" spans="2:15" x14ac:dyDescent="0.35">
      <c r="B55" s="1620" t="s">
        <v>2253</v>
      </c>
      <c r="C55" s="1621"/>
      <c r="D55" s="430"/>
      <c r="E55" s="440"/>
      <c r="F55" s="441"/>
      <c r="G55" s="442"/>
      <c r="H55" s="397"/>
      <c r="I55" s="413"/>
      <c r="J55" s="443"/>
      <c r="K55" s="443"/>
      <c r="L55" s="413"/>
      <c r="M55" s="413"/>
    </row>
    <row r="56" spans="2:15" x14ac:dyDescent="0.35">
      <c r="B56" s="1620" t="s">
        <v>2254</v>
      </c>
      <c r="C56" s="1621"/>
      <c r="D56" s="430"/>
      <c r="E56" s="440"/>
      <c r="F56" s="441"/>
      <c r="G56" s="442"/>
      <c r="H56" s="397"/>
      <c r="I56" s="413"/>
      <c r="J56" s="443"/>
      <c r="K56" s="443"/>
      <c r="L56" s="413"/>
      <c r="M56" s="413"/>
    </row>
    <row r="57" spans="2:15" x14ac:dyDescent="0.35">
      <c r="B57" s="1645" t="s">
        <v>2255</v>
      </c>
      <c r="C57" s="1646"/>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38" t="s">
        <v>3177</v>
      </c>
      <c r="C60" s="1638"/>
      <c r="D60" s="1638"/>
      <c r="E60" s="1638"/>
      <c r="F60" s="1214"/>
      <c r="G60" s="1214"/>
      <c r="H60" s="1209"/>
      <c r="I60" s="838"/>
      <c r="J60" s="849"/>
      <c r="K60" s="850"/>
      <c r="L60" s="838"/>
      <c r="M60" s="838"/>
      <c r="N60" s="851"/>
      <c r="O60" s="851"/>
    </row>
    <row r="61" spans="2:15" s="624" customFormat="1" x14ac:dyDescent="0.35">
      <c r="B61" s="1642" t="s">
        <v>2404</v>
      </c>
      <c r="C61" s="1642"/>
      <c r="D61" s="1642"/>
      <c r="E61" s="1642"/>
      <c r="F61" s="1642"/>
      <c r="G61" s="1642"/>
      <c r="H61" s="1642"/>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39" t="s">
        <v>2163</v>
      </c>
      <c r="C63" s="1640"/>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2695312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26953125" style="2" bestFit="1" customWidth="1"/>
    <col min="111" max="111" width="34.7265625" style="2" bestFit="1" customWidth="1"/>
    <col min="112" max="16384" width="8.81640625" style="2"/>
  </cols>
  <sheetData>
    <row r="1" spans="1:113" s="469" customFormat="1" ht="13" customHeight="1" x14ac:dyDescent="0.3">
      <c r="B1" s="1650" t="s">
        <v>231</v>
      </c>
      <c r="C1" s="1650"/>
      <c r="D1" s="1650"/>
      <c r="E1" s="1650"/>
      <c r="F1" s="1650"/>
      <c r="J1" s="757"/>
      <c r="BS1" s="758"/>
      <c r="CM1" s="1575"/>
    </row>
    <row r="2" spans="1:113" s="469" customFormat="1" ht="13" customHeight="1" x14ac:dyDescent="0.3">
      <c r="B2" s="1650"/>
      <c r="C2" s="1650"/>
      <c r="D2" s="1650"/>
      <c r="E2" s="1650"/>
      <c r="F2" s="1650"/>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2048" t="s">
        <v>233</v>
      </c>
      <c r="C4" s="2048"/>
      <c r="D4" s="2048"/>
      <c r="E4" s="2048"/>
      <c r="F4" s="2048"/>
      <c r="G4" s="2048" t="s">
        <v>234</v>
      </c>
      <c r="H4" s="2048"/>
      <c r="I4" s="2048" t="s">
        <v>234</v>
      </c>
      <c r="J4" s="2049"/>
      <c r="K4" s="31"/>
      <c r="L4" s="2048"/>
      <c r="M4" s="2048"/>
      <c r="N4" s="2048"/>
      <c r="O4" s="2048"/>
      <c r="P4" s="2048"/>
      <c r="Q4" s="31"/>
      <c r="R4" s="31"/>
      <c r="S4" s="31"/>
      <c r="T4" s="31"/>
      <c r="U4" s="31"/>
      <c r="AN4" s="1211"/>
      <c r="AT4" s="1211"/>
      <c r="AU4" s="1211"/>
      <c r="AV4" s="1211"/>
      <c r="AW4" s="1211"/>
      <c r="AX4" s="1211"/>
      <c r="BN4" s="2" t="s">
        <v>2095</v>
      </c>
      <c r="CG4" s="1211"/>
      <c r="CH4" s="1211"/>
      <c r="CI4" s="1211"/>
      <c r="CJ4" s="1211"/>
      <c r="CK4" s="1211"/>
      <c r="CL4" s="1211"/>
      <c r="CM4" s="2052"/>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2050"/>
      <c r="BN5" s="2050"/>
      <c r="BO5" s="2050"/>
      <c r="BP5" s="2050"/>
      <c r="BQ5" s="2050"/>
      <c r="BR5" s="2050"/>
      <c r="BS5" s="2051"/>
      <c r="BT5" s="2050"/>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29" activePane="bottomLeft" state="frozen"/>
      <selection activeCell="G20" sqref="G20"/>
      <selection pane="bottomLeft" activeCell="I50" sqref="I50"/>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7265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697"/>
      <c r="AI1" s="1697"/>
      <c r="AJ1" s="1697"/>
    </row>
    <row r="2" spans="1:152" s="469" customFormat="1" ht="25.5" x14ac:dyDescent="0.3">
      <c r="C2" s="855" t="s">
        <v>2376</v>
      </c>
      <c r="F2" s="1699" t="s">
        <v>0</v>
      </c>
      <c r="G2" s="1699"/>
      <c r="H2" s="1699"/>
      <c r="I2" s="1699"/>
      <c r="J2" s="1699"/>
      <c r="K2" s="1699"/>
      <c r="L2" s="1703" t="s">
        <v>2241</v>
      </c>
      <c r="M2" s="1703"/>
      <c r="Q2" s="1706" t="s">
        <v>1677</v>
      </c>
      <c r="R2" s="1706"/>
      <c r="S2" s="1706"/>
      <c r="T2" s="1706"/>
      <c r="U2" s="1706"/>
      <c r="V2" s="1706"/>
      <c r="W2" s="1706"/>
      <c r="X2" s="1706"/>
      <c r="Y2" s="1706"/>
      <c r="AH2" s="470"/>
      <c r="AI2" s="471"/>
      <c r="AJ2" s="471"/>
    </row>
    <row r="3" spans="1:152" s="472" customFormat="1" ht="28" customHeight="1" x14ac:dyDescent="0.35">
      <c r="C3" s="1694" t="s">
        <v>2403</v>
      </c>
      <c r="D3" s="1694"/>
      <c r="F3" s="832" t="s">
        <v>2159</v>
      </c>
      <c r="G3" s="743"/>
      <c r="H3" s="743"/>
      <c r="I3" s="742" t="s">
        <v>2260</v>
      </c>
      <c r="J3" s="836" t="s">
        <v>2239</v>
      </c>
      <c r="K3" s="836" t="s">
        <v>2239</v>
      </c>
      <c r="L3" s="1704" t="str">
        <f>IF('5. Import Checklist'!C14="ROPE Ready for Upload",'5. Import Checklist'!C14,"ROPE INCOMPLETE -- WILL NOT UPLOAD")</f>
        <v>ROPE Ready for Upload</v>
      </c>
      <c r="M3" s="1705"/>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00" t="s">
        <v>2315</v>
      </c>
      <c r="D7" s="1700"/>
      <c r="E7" s="1700"/>
      <c r="F7" s="1700"/>
      <c r="G7" s="1700"/>
      <c r="H7" s="1701"/>
      <c r="I7" s="1700"/>
      <c r="J7" s="837"/>
      <c r="K7" s="1641" t="s">
        <v>13</v>
      </c>
      <c r="L7" s="1641"/>
      <c r="M7" s="1641"/>
      <c r="N7" s="1641"/>
      <c r="O7" s="1641"/>
      <c r="P7" s="1641"/>
      <c r="Q7" s="1641"/>
      <c r="R7" s="779"/>
      <c r="S7" s="1210"/>
      <c r="AH7" s="787"/>
      <c r="AI7" s="846"/>
      <c r="AJ7" s="846"/>
    </row>
    <row r="8" spans="1:152" s="624" customFormat="1" x14ac:dyDescent="0.35">
      <c r="C8" s="1708" t="s">
        <v>3242</v>
      </c>
      <c r="D8" s="1708"/>
      <c r="E8" s="1708"/>
      <c r="F8" s="1708"/>
      <c r="G8" s="1708"/>
      <c r="H8" s="1708"/>
      <c r="I8" s="1708"/>
      <c r="J8" s="1708"/>
      <c r="K8" s="1708"/>
      <c r="L8" s="1708"/>
      <c r="M8" s="1708"/>
      <c r="N8" s="1708"/>
      <c r="O8" s="779"/>
      <c r="P8" s="779"/>
      <c r="Q8" s="779"/>
      <c r="R8" s="779"/>
      <c r="S8" s="1210"/>
      <c r="AH8" s="787"/>
      <c r="AI8" s="846"/>
      <c r="AJ8" s="846"/>
    </row>
    <row r="9" spans="1:152" s="624" customFormat="1" x14ac:dyDescent="0.35">
      <c r="C9" s="1708" t="s">
        <v>3201</v>
      </c>
      <c r="D9" s="1708"/>
      <c r="E9" s="1708"/>
      <c r="F9" s="1708"/>
      <c r="G9" s="1708"/>
      <c r="H9" s="1708"/>
      <c r="I9" s="1708"/>
      <c r="J9" s="1708"/>
      <c r="K9" s="1708"/>
      <c r="L9" s="1708"/>
      <c r="M9" s="1708"/>
      <c r="N9" s="1708"/>
      <c r="O9" s="791"/>
      <c r="P9" s="791"/>
      <c r="Q9" s="405"/>
      <c r="R9" s="405"/>
      <c r="S9" s="1217"/>
      <c r="AH9" s="787"/>
      <c r="AI9" s="846"/>
      <c r="AJ9" s="846"/>
    </row>
    <row r="10" spans="1:152" s="624" customFormat="1" ht="14" customHeight="1" x14ac:dyDescent="0.35">
      <c r="C10" s="1708" t="s">
        <v>3243</v>
      </c>
      <c r="D10" s="1708"/>
      <c r="E10" s="1708"/>
      <c r="F10" s="1708"/>
      <c r="G10" s="1708"/>
      <c r="H10" s="1708"/>
      <c r="I10" s="1708"/>
      <c r="J10" s="1708"/>
      <c r="K10" s="1708"/>
      <c r="L10" s="1708"/>
      <c r="M10" s="1708"/>
      <c r="N10" s="1708"/>
      <c r="O10" s="779"/>
      <c r="P10" s="779"/>
      <c r="Q10" s="405"/>
      <c r="R10" s="405"/>
      <c r="S10" s="1217"/>
      <c r="AH10" s="787"/>
      <c r="AI10" s="846"/>
      <c r="AJ10" s="846"/>
    </row>
    <row r="11" spans="1:152" s="624" customFormat="1" x14ac:dyDescent="0.35">
      <c r="C11" s="1708" t="s">
        <v>3244</v>
      </c>
      <c r="D11" s="1708"/>
      <c r="E11" s="1708"/>
      <c r="F11" s="1708"/>
      <c r="G11" s="1708"/>
      <c r="H11" s="1708"/>
      <c r="I11" s="1708"/>
      <c r="J11" s="1708"/>
      <c r="K11" s="1708"/>
      <c r="L11" s="1708"/>
      <c r="M11" s="1708"/>
      <c r="N11" s="1708"/>
      <c r="O11" s="1468"/>
      <c r="P11" s="1468"/>
      <c r="Q11" s="405"/>
      <c r="R11" s="405"/>
      <c r="S11" s="1217"/>
      <c r="AH11" s="787"/>
      <c r="AI11" s="846"/>
      <c r="AJ11" s="846"/>
    </row>
    <row r="12" spans="1:152" s="624" customFormat="1" x14ac:dyDescent="0.35">
      <c r="C12" s="1707" t="s">
        <v>3245</v>
      </c>
      <c r="D12" s="1707"/>
      <c r="E12" s="1707"/>
      <c r="F12" s="1707"/>
      <c r="G12" s="1707"/>
      <c r="H12" s="1707"/>
      <c r="I12" s="1707"/>
      <c r="J12" s="1707"/>
      <c r="K12" s="1707"/>
      <c r="L12" s="1707"/>
      <c r="M12" s="1707"/>
      <c r="N12" s="1707"/>
      <c r="O12" s="1707"/>
      <c r="P12" s="1707"/>
      <c r="Q12" s="1707"/>
      <c r="R12" s="1707"/>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02" t="s">
        <v>3246</v>
      </c>
      <c r="D15" s="1702"/>
      <c r="E15" s="1702"/>
      <c r="F15" s="1702"/>
      <c r="G15" s="1702"/>
      <c r="H15" s="1702"/>
      <c r="I15" s="1702"/>
      <c r="AH15" s="845"/>
      <c r="AI15" s="846"/>
      <c r="AJ15" s="846"/>
    </row>
    <row r="16" spans="1:152" x14ac:dyDescent="0.3">
      <c r="AH16" s="404"/>
      <c r="AI16" s="477"/>
      <c r="AJ16" s="477"/>
    </row>
    <row r="17" spans="3:97" ht="23.5" customHeight="1" x14ac:dyDescent="0.3">
      <c r="C17" s="1689" t="s">
        <v>2199</v>
      </c>
      <c r="D17" s="1690"/>
      <c r="E17" s="1690"/>
      <c r="F17" s="1691"/>
      <c r="G17" s="479"/>
      <c r="H17" s="479"/>
      <c r="J17" s="479"/>
      <c r="K17" s="480"/>
      <c r="L17" s="480"/>
      <c r="M17" s="480"/>
      <c r="N17" s="480"/>
      <c r="O17" s="1695"/>
      <c r="P17" s="1695"/>
      <c r="Q17" s="1695"/>
      <c r="R17" s="1695"/>
      <c r="S17" s="1695"/>
      <c r="T17" s="1695"/>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18" t="s">
        <v>15</v>
      </c>
      <c r="D18" s="1718"/>
      <c r="E18" s="1657" t="str">
        <f>'1. Project Inputs'!C17</f>
        <v>Dallas</v>
      </c>
      <c r="F18" s="1658"/>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19" t="s">
        <v>1304</v>
      </c>
      <c r="D19" s="1719"/>
      <c r="E19" s="1659" t="str">
        <f>'1. Project Inputs'!C18</f>
        <v>C Spire</v>
      </c>
      <c r="F19" s="1660"/>
      <c r="G19" s="491"/>
      <c r="H19" s="491"/>
      <c r="I19" s="491"/>
      <c r="J19" s="491"/>
      <c r="K19" s="413"/>
      <c r="L19" s="1607" t="s">
        <v>2021</v>
      </c>
      <c r="M19" s="1608">
        <f>'3. Financial Inputs'!C67</f>
        <v>43110</v>
      </c>
      <c r="N19" s="413"/>
      <c r="O19" s="492"/>
      <c r="P19" s="492"/>
      <c r="Q19" s="492"/>
      <c r="R19" s="492"/>
      <c r="S19" s="492"/>
      <c r="T19" s="795"/>
      <c r="U19" s="795"/>
      <c r="V19" s="795"/>
      <c r="W19" s="398"/>
      <c r="X19" s="398"/>
      <c r="Y19" s="493"/>
      <c r="Z19" s="493"/>
      <c r="AH19" s="492"/>
      <c r="AI19" s="1698"/>
      <c r="AJ19" s="1698"/>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19" t="s">
        <v>3573</v>
      </c>
      <c r="D20" s="1719"/>
      <c r="E20" s="1659" t="str">
        <f>'1. Project Inputs'!C19</f>
        <v>TA Digital</v>
      </c>
      <c r="F20" s="1660"/>
      <c r="G20" s="488"/>
      <c r="H20" s="488"/>
      <c r="I20" s="488"/>
      <c r="J20" s="488"/>
      <c r="K20" s="494"/>
      <c r="L20" s="1607"/>
      <c r="M20" s="1609"/>
      <c r="N20" s="494"/>
      <c r="O20" s="804"/>
      <c r="P20" s="804"/>
      <c r="Q20" s="804"/>
      <c r="R20" s="804"/>
      <c r="S20" s="804"/>
      <c r="T20" s="496"/>
      <c r="U20" s="496"/>
      <c r="V20" s="399"/>
      <c r="W20" s="399"/>
      <c r="X20" s="399"/>
      <c r="Y20" s="399"/>
      <c r="Z20" s="496"/>
      <c r="AH20" s="495"/>
      <c r="AI20" s="1696"/>
      <c r="AJ20" s="1696"/>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19" t="s">
        <v>19</v>
      </c>
      <c r="D21" s="1719"/>
      <c r="E21" s="1659" t="str">
        <f>'1. Project Inputs'!C19</f>
        <v>TA Digital</v>
      </c>
      <c r="F21" s="1660"/>
      <c r="G21" s="488"/>
      <c r="H21" s="488"/>
      <c r="I21" s="488"/>
      <c r="J21" s="488"/>
      <c r="K21" s="494"/>
      <c r="L21" s="1607" t="s">
        <v>3299</v>
      </c>
      <c r="M21" s="1610">
        <f>'4. Summary &amp; Totals'!C45</f>
        <v>912660</v>
      </c>
      <c r="N21" s="494"/>
      <c r="O21" s="804"/>
      <c r="P21" s="804"/>
      <c r="Q21" s="804"/>
      <c r="R21" s="804"/>
      <c r="S21" s="804"/>
      <c r="T21" s="496"/>
      <c r="U21" s="496"/>
      <c r="V21" s="399"/>
      <c r="W21" s="399"/>
      <c r="X21" s="399"/>
      <c r="Y21" s="399"/>
      <c r="Z21" s="496"/>
      <c r="AH21" s="495"/>
      <c r="AI21" s="1696"/>
      <c r="AJ21" s="1696"/>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19" t="s">
        <v>3212</v>
      </c>
      <c r="D22" s="1719"/>
      <c r="E22" s="1659" t="str">
        <f>'1. Project Inputs'!C20</f>
        <v>No</v>
      </c>
      <c r="F22" s="1660"/>
      <c r="G22" s="488"/>
      <c r="H22" s="488"/>
      <c r="I22" s="488"/>
      <c r="J22" s="488"/>
      <c r="K22" s="494"/>
      <c r="L22" s="1607" t="s">
        <v>1673</v>
      </c>
      <c r="M22" s="1609">
        <f>'4. Summary &amp; Totals'!C37</f>
        <v>0.55130354886872635</v>
      </c>
      <c r="N22" s="494"/>
      <c r="O22" s="804"/>
      <c r="P22" s="804"/>
      <c r="Q22" s="804"/>
      <c r="R22" s="804"/>
      <c r="S22" s="804"/>
      <c r="T22" s="496"/>
      <c r="U22" s="496"/>
      <c r="V22" s="399"/>
      <c r="W22" s="399"/>
      <c r="X22" s="399"/>
      <c r="Y22" s="399"/>
      <c r="Z22" s="496"/>
      <c r="AH22" s="495"/>
      <c r="AI22" s="1696"/>
      <c r="AJ22" s="1696"/>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20" t="s">
        <v>2064</v>
      </c>
      <c r="D23" s="1720"/>
      <c r="E23" s="1659">
        <f>'1. Project Inputs'!C22</f>
        <v>1324</v>
      </c>
      <c r="F23" s="1660"/>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696"/>
      <c r="AJ23" s="1696"/>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20" t="s">
        <v>22</v>
      </c>
      <c r="D24" s="1720"/>
      <c r="E24" s="1659" t="str">
        <f>'1. Project Inputs'!C23</f>
        <v>Test Digital Project</v>
      </c>
      <c r="F24" s="1660"/>
      <c r="G24" s="488"/>
      <c r="H24" s="488"/>
      <c r="I24" s="488"/>
      <c r="J24" s="488"/>
      <c r="K24" s="484"/>
      <c r="L24" s="1607"/>
      <c r="M24" s="1607"/>
      <c r="N24" s="484"/>
      <c r="O24" s="804"/>
      <c r="P24" s="804"/>
      <c r="Q24" s="804"/>
      <c r="R24" s="804"/>
      <c r="S24" s="804"/>
      <c r="T24" s="496"/>
      <c r="U24" s="496"/>
      <c r="V24" s="399"/>
      <c r="W24" s="399"/>
      <c r="X24" s="399"/>
      <c r="Y24" s="399"/>
      <c r="Z24" s="496"/>
      <c r="AC24" s="1712" t="s">
        <v>100</v>
      </c>
      <c r="AD24" s="1712"/>
      <c r="AE24" s="1712"/>
      <c r="AF24" s="1712"/>
      <c r="AH24" s="495"/>
      <c r="AI24" s="1696"/>
      <c r="AJ24" s="1696"/>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20" t="s">
        <v>23</v>
      </c>
      <c r="D25" s="1720"/>
      <c r="E25" s="1657" t="str">
        <f>'1. Project Inputs'!C24</f>
        <v>Digital - Systems Implementation</v>
      </c>
      <c r="F25" s="1658"/>
      <c r="G25" s="488"/>
      <c r="H25" s="488"/>
      <c r="I25" s="488"/>
      <c r="J25" s="488"/>
      <c r="K25" s="413"/>
      <c r="L25" s="413"/>
      <c r="M25" s="413"/>
      <c r="N25" s="413"/>
      <c r="O25" s="804"/>
      <c r="P25" s="804"/>
      <c r="Q25" s="804"/>
      <c r="R25" s="804"/>
      <c r="S25" s="804"/>
      <c r="T25" s="496"/>
      <c r="U25" s="496"/>
      <c r="V25" s="399"/>
      <c r="W25" s="399"/>
      <c r="X25" s="399"/>
      <c r="Y25" s="399"/>
      <c r="Z25" s="496"/>
      <c r="AB25" s="466"/>
      <c r="AC25" s="1712"/>
      <c r="AD25" s="1712"/>
      <c r="AE25" s="1712"/>
      <c r="AF25" s="1712"/>
      <c r="AH25" s="495"/>
      <c r="AI25" s="1696"/>
      <c r="AJ25" s="1696"/>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20" t="s">
        <v>24</v>
      </c>
      <c r="D26" s="1720"/>
      <c r="E26" s="1657" t="str">
        <f>'1. Project Inputs'!C25</f>
        <v>Standard Rates</v>
      </c>
      <c r="F26" s="1658"/>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696"/>
      <c r="AJ26" s="1696"/>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21" t="s">
        <v>2311</v>
      </c>
      <c r="D27" s="1721"/>
      <c r="E27" s="1659" t="str">
        <f>IF(ISBLANK('1. Project Inputs'!C26)," ",'1. Project Inputs'!C26)</f>
        <v xml:space="preserve"> </v>
      </c>
      <c r="F27" s="1660"/>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696"/>
      <c r="AJ27" s="1696"/>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19" t="s">
        <v>1890</v>
      </c>
      <c r="D28" s="1719"/>
      <c r="E28" s="1661">
        <f>'1. Project Inputs'!C27</f>
        <v>45916</v>
      </c>
      <c r="F28" s="1662"/>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678600</v>
      </c>
      <c r="AE28" s="517">
        <f>IF(AE48="","",SUMIFS($D$291:$D$390,$AE$48:$AE$147,"Yes"))</f>
        <v>237000</v>
      </c>
      <c r="AF28" s="1457">
        <f>IF(AF48="","",SUMIFS($D$291:$D$390,$AF$48:$AF$147,"Yes"))</f>
        <v>252600</v>
      </c>
      <c r="AH28" s="495"/>
      <c r="AI28" s="1696"/>
      <c r="AJ28" s="1696"/>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19" t="s">
        <v>27</v>
      </c>
      <c r="D29" s="1719"/>
      <c r="E29" s="1661" t="str">
        <f>'1. Project Inputs'!C28</f>
        <v>Fixed Fee</v>
      </c>
      <c r="F29" s="1662"/>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301200</v>
      </c>
      <c r="AE29" s="517">
        <f>IF(AE48="","",SUMIFS($F$291:$F$390,$AE$48:$AE$147,"Yes"))</f>
        <v>94800</v>
      </c>
      <c r="AF29" s="1457">
        <f>IF(AF48="","",SUMIFS($F$291:$F$390,$AF$48:$AF$147,"Yes"))</f>
        <v>109200</v>
      </c>
      <c r="AH29" s="495"/>
      <c r="AI29" s="1696"/>
      <c r="AJ29" s="1696"/>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22" t="s">
        <v>2286</v>
      </c>
      <c r="D30" s="1722"/>
      <c r="E30" s="1663">
        <f>'1. Project Inputs'!C29</f>
        <v>30</v>
      </c>
      <c r="F30" s="1664"/>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58.372093023255815</v>
      </c>
      <c r="AE30" s="1459">
        <f>IFERROR(AE29/SUMIFS($M$291:$M$390,AE48:AE147,"Yes"),"")</f>
        <v>52.666666666666664</v>
      </c>
      <c r="AF30" s="1460">
        <f>IFERROR(AF29/SUMIFS($M$291:$M$390,AF48:AF147,"Yes"),"")</f>
        <v>39.565217391304351</v>
      </c>
      <c r="AH30" s="441"/>
      <c r="AI30" s="1696"/>
      <c r="AJ30" s="1696"/>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87" t="s">
        <v>2292</v>
      </c>
      <c r="G32" s="1687"/>
      <c r="H32" s="1687"/>
      <c r="I32" s="1687"/>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2040" t="s">
        <v>3202</v>
      </c>
      <c r="D35" s="2040"/>
      <c r="E35" s="2040"/>
      <c r="F35" s="2040"/>
      <c r="G35" s="2040"/>
      <c r="H35" s="2040"/>
      <c r="I35" s="2040"/>
      <c r="J35" s="2040"/>
      <c r="K35" s="2040"/>
      <c r="L35" s="2040"/>
      <c r="M35" s="2040"/>
      <c r="N35" s="2040"/>
      <c r="O35" s="2040"/>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78" t="s">
        <v>2315</v>
      </c>
      <c r="D36" s="1678"/>
      <c r="E36" s="1678"/>
      <c r="F36" s="1678"/>
      <c r="G36" s="1678"/>
      <c r="H36" s="1678"/>
      <c r="I36" s="1678"/>
      <c r="J36" s="1678"/>
      <c r="K36" s="1678"/>
      <c r="L36" s="1678"/>
      <c r="M36" s="1678"/>
      <c r="N36" s="1678"/>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684" t="s">
        <v>3235</v>
      </c>
      <c r="D37" s="1684"/>
      <c r="E37" s="1684"/>
      <c r="F37" s="1684"/>
      <c r="G37" s="1684"/>
      <c r="H37" s="1684"/>
      <c r="I37" s="1684"/>
      <c r="J37" s="1684"/>
      <c r="K37" s="1684"/>
      <c r="L37" s="1684"/>
      <c r="M37" s="1684"/>
      <c r="N37" s="1684"/>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684" t="s">
        <v>3236</v>
      </c>
      <c r="D38" s="1684"/>
      <c r="E38" s="1684"/>
      <c r="F38" s="1684"/>
      <c r="G38" s="1684"/>
      <c r="H38" s="1684"/>
      <c r="I38" s="1684"/>
      <c r="J38" s="1684"/>
      <c r="K38" s="1684"/>
      <c r="L38" s="1684"/>
      <c r="M38" s="1684"/>
      <c r="N38" s="1684"/>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24" t="s">
        <v>3237</v>
      </c>
      <c r="D39" s="1724"/>
      <c r="E39" s="1724"/>
      <c r="F39" s="1724"/>
      <c r="G39" s="1724"/>
      <c r="H39" s="1724"/>
      <c r="I39" s="1724"/>
      <c r="J39" s="1724"/>
      <c r="K39" s="1724"/>
      <c r="L39" s="1724"/>
      <c r="M39" s="1724"/>
      <c r="N39" s="1724"/>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684" t="s">
        <v>3238</v>
      </c>
      <c r="D40" s="1684"/>
      <c r="E40" s="1684"/>
      <c r="F40" s="1684"/>
      <c r="G40" s="1684"/>
      <c r="H40" s="1684"/>
      <c r="I40" s="1684"/>
      <c r="J40" s="1684"/>
      <c r="K40" s="1684"/>
      <c r="L40" s="1684"/>
      <c r="M40" s="1684"/>
      <c r="N40" s="1684"/>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25" t="s">
        <v>3203</v>
      </c>
      <c r="D41" s="1725"/>
      <c r="E41" s="1725"/>
      <c r="F41" s="1725"/>
      <c r="G41" s="1725"/>
      <c r="H41" s="1725"/>
      <c r="I41" s="1725"/>
      <c r="J41" s="1725"/>
      <c r="K41" s="1725"/>
      <c r="L41" s="1725"/>
      <c r="M41" s="1725"/>
      <c r="N41" s="1725"/>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684" t="s">
        <v>3239</v>
      </c>
      <c r="D42" s="1684"/>
      <c r="E42" s="1684"/>
      <c r="F42" s="1684"/>
      <c r="G42" s="1684"/>
      <c r="H42" s="1684"/>
      <c r="I42" s="1684"/>
      <c r="J42" s="1684"/>
      <c r="K42" s="1684"/>
      <c r="L42" s="1684"/>
      <c r="M42" s="1684"/>
      <c r="N42" s="1684"/>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685" t="s">
        <v>3240</v>
      </c>
      <c r="D43" s="1685"/>
      <c r="E43" s="1685"/>
      <c r="F43" s="1685"/>
      <c r="G43" s="1685"/>
      <c r="H43" s="1685"/>
      <c r="I43" s="1685"/>
      <c r="J43" s="1685"/>
      <c r="K43" s="1685"/>
      <c r="L43" s="1685"/>
      <c r="M43" s="1685"/>
      <c r="N43" s="1685"/>
      <c r="O43" s="842"/>
      <c r="P43" s="842"/>
      <c r="Q43" s="842"/>
      <c r="R43" s="842"/>
      <c r="S43" s="842"/>
      <c r="T43" s="841"/>
      <c r="U43" s="841"/>
      <c r="V43" s="841"/>
      <c r="W43" s="841"/>
      <c r="X43" s="841"/>
      <c r="Y43" s="1768" t="str">
        <f>IF(COUNTIFS(Y48:Y147,"&gt;40")&gt;0,"You have one or more resource staffed over 40 hours a week. If this was intentional, please ignore this message. If this was in error, please check your scheduled weekly hours.","")</f>
        <v/>
      </c>
      <c r="Z43" s="1768"/>
      <c r="AA43" s="1768"/>
      <c r="AB43" s="1768"/>
      <c r="AC43" s="841"/>
      <c r="AD43" s="841"/>
      <c r="AE43" s="841"/>
      <c r="AF43" s="518"/>
      <c r="AG43" s="843"/>
      <c r="AH43" s="844"/>
      <c r="AI43" s="844"/>
      <c r="AJ43" s="843"/>
      <c r="AK43" s="843"/>
      <c r="AL43" s="843"/>
      <c r="AM43" s="843"/>
      <c r="CM43" s="838"/>
    </row>
    <row r="44" spans="1:97" s="624" customFormat="1" ht="14" customHeight="1" x14ac:dyDescent="0.35">
      <c r="B44" s="841"/>
      <c r="C44" s="1686" t="s">
        <v>3241</v>
      </c>
      <c r="D44" s="1686"/>
      <c r="E44" s="1686"/>
      <c r="F44" s="1686"/>
      <c r="G44" s="1686"/>
      <c r="H44" s="1686"/>
      <c r="I44" s="1686"/>
      <c r="J44" s="1686"/>
      <c r="K44" s="1686"/>
      <c r="L44" s="1686"/>
      <c r="M44" s="1686"/>
      <c r="N44" s="1686"/>
      <c r="O44" s="842"/>
      <c r="P44" s="842"/>
      <c r="Q44" s="842"/>
      <c r="R44" s="842"/>
      <c r="S44" s="842"/>
      <c r="T44" s="841"/>
      <c r="U44" s="841"/>
      <c r="V44" s="841"/>
      <c r="W44" s="841"/>
      <c r="X44" s="841"/>
      <c r="Y44" s="1768"/>
      <c r="Z44" s="1768"/>
      <c r="AA44" s="1768"/>
      <c r="AB44" s="1768"/>
      <c r="AC44" s="841"/>
      <c r="AD44" s="841"/>
      <c r="AE44" s="841"/>
      <c r="AF44" s="518"/>
      <c r="AG44" s="843"/>
      <c r="AH44" s="844"/>
      <c r="AI44" s="844"/>
      <c r="AJ44" s="843"/>
      <c r="AK44" s="843"/>
      <c r="AL44" s="843"/>
      <c r="AM44" s="843"/>
      <c r="CM44" s="838"/>
    </row>
    <row r="45" spans="1:97" x14ac:dyDescent="0.3">
      <c r="Y45" s="1768"/>
      <c r="Z45" s="1768"/>
      <c r="AA45" s="1768"/>
      <c r="AB45" s="1768"/>
    </row>
    <row r="46" spans="1:97" s="624" customFormat="1" ht="14" customHeight="1" x14ac:dyDescent="0.35">
      <c r="B46" s="841"/>
      <c r="C46" s="1713"/>
      <c r="D46" s="1713"/>
      <c r="E46" s="1713"/>
      <c r="F46" s="1713"/>
      <c r="G46" s="1713"/>
      <c r="H46" s="1713"/>
      <c r="I46" s="1713"/>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665" t="s">
        <v>237</v>
      </c>
      <c r="L47" s="1665"/>
      <c r="M47" s="1665"/>
      <c r="N47" s="1279" t="s">
        <v>2406</v>
      </c>
      <c r="O47" s="1665" t="s">
        <v>238</v>
      </c>
      <c r="P47" s="1665"/>
      <c r="Q47" s="1665"/>
      <c r="R47" s="1665"/>
      <c r="S47" s="1665"/>
      <c r="T47" s="1692" t="str">
        <f>IF('1. Project Inputs'!C25="Client Custom Rates","Custom Client Rate Card Title","Custom Client Rate Title Do Not Use")</f>
        <v>Custom Client Rate Title Do Not Use</v>
      </c>
      <c r="U47" s="1692"/>
      <c r="V47" s="1281" t="s">
        <v>2369</v>
      </c>
      <c r="W47" s="1281" t="s">
        <v>2314</v>
      </c>
      <c r="X47" s="1594" t="s">
        <v>2096</v>
      </c>
      <c r="Y47" s="1280" t="s">
        <v>2259</v>
      </c>
      <c r="Z47" s="1279" t="s">
        <v>2096</v>
      </c>
      <c r="AA47" s="1279" t="s">
        <v>2258</v>
      </c>
      <c r="AB47" s="1279" t="s">
        <v>64</v>
      </c>
      <c r="AC47" s="1665" t="s">
        <v>104</v>
      </c>
      <c r="AD47" s="1666"/>
      <c r="AE47" s="1282" t="s">
        <v>105</v>
      </c>
      <c r="AF47" s="1279" t="s">
        <v>106</v>
      </c>
      <c r="AH47" s="1711"/>
      <c r="AI47" s="1711"/>
      <c r="AJ47" s="1283"/>
      <c r="AK47" s="1283"/>
      <c r="AL47" s="1283"/>
      <c r="AM47" s="1283"/>
      <c r="CM47" s="1284"/>
    </row>
    <row r="48" spans="1:97" ht="14.5" customHeight="1" x14ac:dyDescent="0.3">
      <c r="C48" s="1182" t="s">
        <v>430</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3435</v>
      </c>
      <c r="J48" s="1184" t="str">
        <f>C48</f>
        <v>TADNorthAmerica</v>
      </c>
      <c r="K48" s="1674" t="s">
        <v>532</v>
      </c>
      <c r="L48" s="1675"/>
      <c r="M48" s="1676"/>
      <c r="N48" s="1190" cm="1">
        <f t="array" ref="N48">IF($E$20="Credera US",V48,SUMPRODUCT(('Rates &amp; Drop Downs INT'!$CG$6:$CG$747=$D48)*('Rates &amp; Drop Downs INT'!$CI$6:$CI$747=$F48)*('Rates &amp; Drop Downs INT'!$CK$6:$CK$747=$K48)*('Rates &amp; Drop Downs INT'!$CM$6:$CM$747)))</f>
        <v>2</v>
      </c>
      <c r="O48" s="1688"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688"/>
      <c r="Q48" s="1688"/>
      <c r="R48" s="1688"/>
      <c r="S48" s="1688"/>
      <c r="T48" s="1693"/>
      <c r="U48" s="1693"/>
      <c r="V48" s="1221">
        <f>IFERROR(IF(ISBLANK(K48)," ",_xlfn.XLOOKUP(K48,'Rates &amp; Drop Downs INT'!C:C,'Rates &amp; Drop Downs INT'!J:J)),N48)</f>
        <v>0</v>
      </c>
      <c r="W48" s="1202" t="str">
        <f>IF(ISBLANK($K48)," ",IF(OR($C48="Credera US",$C48="TADNorthAmerica"),"Onshore","Offshore"))</f>
        <v>Onshore</v>
      </c>
      <c r="X48" s="1202"/>
      <c r="Y48" s="890">
        <v>32</v>
      </c>
      <c r="Z48" s="1183" t="s">
        <v>295</v>
      </c>
      <c r="AA48" s="1185"/>
      <c r="AB48" s="1273"/>
      <c r="AC48" s="1667" t="s">
        <v>78</v>
      </c>
      <c r="AD48" s="1668"/>
      <c r="AE48" s="1596" t="s">
        <v>275</v>
      </c>
      <c r="AF48" s="891" t="s">
        <v>78</v>
      </c>
      <c r="AH48" s="1709"/>
      <c r="AI48" s="1709"/>
      <c r="CM48" s="425"/>
    </row>
    <row r="49" spans="3:91" ht="16" customHeight="1" x14ac:dyDescent="0.3">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74" t="s">
        <v>367</v>
      </c>
      <c r="L49" s="1675"/>
      <c r="M49" s="1676"/>
      <c r="N49" s="1190" cm="1">
        <f t="array" ref="N49">IF($E$20="Credera US",V49,SUMPRODUCT(('Rates &amp; Drop Downs INT'!$CG$6:$CG$747=$D49)*('Rates &amp; Drop Downs INT'!$CI$6:$CI$747=$F49)*('Rates &amp; Drop Downs INT'!$CK$6:$CK$747=$K49)*('Rates &amp; Drop Downs INT'!$CM$6:$CM$747)))</f>
        <v>2</v>
      </c>
      <c r="O49" s="1681"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2055"/>
      <c r="Q49" s="2055"/>
      <c r="R49" s="2055"/>
      <c r="S49" s="2056"/>
      <c r="T49" s="1682"/>
      <c r="U49" s="1683"/>
      <c r="V49" s="1222">
        <f>IFERROR(IF(ISBLANK(K49)," ",_xlfn.XLOOKUP(K49,'Rates &amp; Drop Downs INT'!C:C,'Rates &amp; Drop Downs INT'!J:J)),N49)</f>
        <v>2</v>
      </c>
      <c r="W49" s="1203" t="str">
        <f t="shared" ref="W49:W112" si="0">IF(ISBLANK($K49)," ",IF(OR($C49="Credera US",$C49="TADNorthAmerica"),"Onshore","Offshore"))</f>
        <v>Offshore</v>
      </c>
      <c r="X49" s="1203"/>
      <c r="Y49" s="880">
        <v>20</v>
      </c>
      <c r="Z49" s="1187"/>
      <c r="AA49" s="1190"/>
      <c r="AB49" s="1274"/>
      <c r="AC49" s="1653" t="s">
        <v>78</v>
      </c>
      <c r="AD49" s="1654"/>
      <c r="AE49" s="881" t="s">
        <v>78</v>
      </c>
      <c r="AF49" s="892" t="s">
        <v>78</v>
      </c>
      <c r="AH49" s="1709"/>
      <c r="AI49" s="1709"/>
      <c r="CM49" s="425"/>
    </row>
    <row r="50" spans="3:91" ht="16" customHeight="1" x14ac:dyDescent="0.3">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74" t="s">
        <v>749</v>
      </c>
      <c r="L50" s="1675"/>
      <c r="M50" s="1676"/>
      <c r="N50" s="1190" cm="1">
        <f t="array" ref="N50">IF($E$20="Credera US",V50,SUMPRODUCT(('Rates &amp; Drop Downs INT'!$CG$6:$CG$747=$D50)*('Rates &amp; Drop Downs INT'!$CI$6:$CI$747=$F50)*('Rates &amp; Drop Downs INT'!$CK$6:$CK$747=$K50)*('Rates &amp; Drop Downs INT'!$CM$6:$CM$747)))</f>
        <v>2</v>
      </c>
      <c r="O50" s="1681"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2055"/>
      <c r="Q50" s="2055"/>
      <c r="R50" s="2055"/>
      <c r="S50" s="2056"/>
      <c r="T50" s="1682"/>
      <c r="U50" s="1683"/>
      <c r="V50" s="1222">
        <f>IFERROR(IF(ISBLANK(K50)," ",_xlfn.XLOOKUP(K50,'Rates &amp; Drop Downs INT'!C:C,'Rates &amp; Drop Downs INT'!J:J)),N50)</f>
        <v>2</v>
      </c>
      <c r="W50" s="1203" t="str">
        <f t="shared" si="0"/>
        <v>Onshore</v>
      </c>
      <c r="X50" s="1203"/>
      <c r="Y50" s="880">
        <v>40</v>
      </c>
      <c r="Z50" s="1187"/>
      <c r="AA50" s="1190"/>
      <c r="AB50" s="1274"/>
      <c r="AC50" s="1653" t="s">
        <v>78</v>
      </c>
      <c r="AD50" s="1654"/>
      <c r="AE50" s="881" t="s">
        <v>78</v>
      </c>
      <c r="AF50" s="892"/>
      <c r="AH50" s="1709"/>
      <c r="AI50" s="1709"/>
      <c r="CM50" s="425"/>
    </row>
    <row r="51" spans="3:91" ht="16" customHeight="1" x14ac:dyDescent="0.3">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t="s">
        <v>3462</v>
      </c>
      <c r="J51" s="1188" t="str">
        <f t="shared" ref="J51:J112" si="1">C51</f>
        <v>TADIndia</v>
      </c>
      <c r="K51" s="1674" t="s">
        <v>749</v>
      </c>
      <c r="L51" s="1675"/>
      <c r="M51" s="1676"/>
      <c r="N51" s="1190" cm="1">
        <f t="array" ref="N51">IF($E$20="Credera US",V51,SUMPRODUCT(('Rates &amp; Drop Downs INT'!$CG$6:$CG$747=$D51)*('Rates &amp; Drop Downs INT'!$CI$6:$CI$747=$F51)*('Rates &amp; Drop Downs INT'!$CK$6:$CK$747=$K51)*('Rates &amp; Drop Downs INT'!$CM$6:$CM$747)))</f>
        <v>2</v>
      </c>
      <c r="O51" s="1681"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2055"/>
      <c r="Q51" s="2055"/>
      <c r="R51" s="2055"/>
      <c r="S51" s="2056"/>
      <c r="T51" s="1682"/>
      <c r="U51" s="1683"/>
      <c r="V51" s="1222">
        <f>IFERROR(IF(ISBLANK(K51)," ",_xlfn.XLOOKUP(K51,'Rates &amp; Drop Downs INT'!C:C,'Rates &amp; Drop Downs INT'!J:J)),N51)</f>
        <v>2</v>
      </c>
      <c r="W51" s="1203" t="str">
        <f t="shared" si="0"/>
        <v>Offshore</v>
      </c>
      <c r="X51" s="1203"/>
      <c r="Y51" s="880">
        <v>40</v>
      </c>
      <c r="Z51" s="1187"/>
      <c r="AA51" s="1190"/>
      <c r="AB51" s="1274"/>
      <c r="AC51" s="1653" t="s">
        <v>78</v>
      </c>
      <c r="AD51" s="1654"/>
      <c r="AE51" s="881"/>
      <c r="AF51" s="892" t="s">
        <v>78</v>
      </c>
      <c r="AH51" s="1709"/>
      <c r="AI51" s="1709"/>
      <c r="CM51" s="425"/>
    </row>
    <row r="52" spans="3:91" ht="16" customHeight="1" x14ac:dyDescent="0.3">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74" t="s">
        <v>536</v>
      </c>
      <c r="L52" s="1675"/>
      <c r="M52" s="1676"/>
      <c r="N52" s="1190" cm="1">
        <f t="array" ref="N52">IF($E$20="Credera US",V52,SUMPRODUCT(('Rates &amp; Drop Downs INT'!$CG$6:$CG$747=$D52)*('Rates &amp; Drop Downs INT'!$CI$6:$CI$747=$F52)*('Rates &amp; Drop Downs INT'!$CK$6:$CK$747=$K52)*('Rates &amp; Drop Downs INT'!$CM$6:$CM$747)))</f>
        <v>3</v>
      </c>
      <c r="O52" s="1681"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2055"/>
      <c r="Q52" s="2055"/>
      <c r="R52" s="2055"/>
      <c r="S52" s="2056"/>
      <c r="T52" s="1682"/>
      <c r="U52" s="1683"/>
      <c r="V52" s="1222">
        <f>IFERROR(IF(ISBLANK(K52)," ",_xlfn.XLOOKUP(K52,'Rates &amp; Drop Downs INT'!C:C,'Rates &amp; Drop Downs INT'!J:J)),N52)</f>
        <v>0</v>
      </c>
      <c r="W52" s="1203" t="str">
        <f t="shared" si="0"/>
        <v>Onshore</v>
      </c>
      <c r="X52" s="1203"/>
      <c r="Y52" s="880">
        <v>40</v>
      </c>
      <c r="Z52" s="1187"/>
      <c r="AA52" s="1190"/>
      <c r="AB52" s="1274"/>
      <c r="AC52" s="1653" t="s">
        <v>78</v>
      </c>
      <c r="AD52" s="1654"/>
      <c r="AE52" s="881"/>
      <c r="AF52" s="892"/>
      <c r="AH52" s="1709"/>
      <c r="AI52" s="1709"/>
      <c r="CM52" s="425"/>
    </row>
    <row r="53" spans="3:91" ht="16" customHeight="1" x14ac:dyDescent="0.3">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t="s">
        <v>1779</v>
      </c>
      <c r="J53" s="1188" t="str">
        <f t="shared" si="1"/>
        <v>TADIndia</v>
      </c>
      <c r="K53" s="1674" t="s">
        <v>3363</v>
      </c>
      <c r="L53" s="1675"/>
      <c r="M53" s="1676"/>
      <c r="N53" s="1190" cm="1">
        <f t="array" ref="N53">IF($E$20="Credera US",V53,SUMPRODUCT(('Rates &amp; Drop Downs INT'!$CG$6:$CG$747=$D53)*('Rates &amp; Drop Downs INT'!$CI$6:$CI$747=$F53)*('Rates &amp; Drop Downs INT'!$CK$6:$CK$747=$K53)*('Rates &amp; Drop Downs INT'!$CM$6:$CM$747)))</f>
        <v>2</v>
      </c>
      <c r="O53" s="1681"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2055"/>
      <c r="Q53" s="2055"/>
      <c r="R53" s="2055"/>
      <c r="S53" s="2056"/>
      <c r="T53" s="1682"/>
      <c r="U53" s="1683"/>
      <c r="V53" s="1222">
        <f>IFERROR(IF(ISBLANK(K53)," ",_xlfn.XLOOKUP(K53,'Rates &amp; Drop Downs INT'!C:C,'Rates &amp; Drop Downs INT'!J:J)),N53)</f>
        <v>2</v>
      </c>
      <c r="W53" s="1203" t="str">
        <f t="shared" si="0"/>
        <v>Offshore</v>
      </c>
      <c r="X53" s="1203"/>
      <c r="Y53" s="880">
        <v>32</v>
      </c>
      <c r="Z53" s="1187"/>
      <c r="AA53" s="1190"/>
      <c r="AB53" s="1274"/>
      <c r="AC53" s="1653"/>
      <c r="AD53" s="1654"/>
      <c r="AE53" s="881"/>
      <c r="AF53" s="892"/>
      <c r="AH53" s="1709"/>
      <c r="AI53" s="1709"/>
      <c r="CM53" s="425"/>
    </row>
    <row r="54" spans="3:91" ht="16" customHeight="1" x14ac:dyDescent="0.3">
      <c r="C54" s="1186" t="s">
        <v>269</v>
      </c>
      <c r="D54" s="1187" t="s">
        <v>297</v>
      </c>
      <c r="E54" s="1187" t="str">
        <f>IFERROR(_xlfn.XLOOKUP(D54,TADIndia,'Rates &amp; Drop Downs INT'!$CH$6:$CH$747),"")</f>
        <v>DOTNET</v>
      </c>
      <c r="F54" s="1187" t="s">
        <v>1872</v>
      </c>
      <c r="G54" s="1187" t="str">
        <f>IFERROR(_xlfn.XLOOKUP(F54,'Rates &amp; Drop Downs INT'!$CI$6:$CI$747,'Rates &amp; Drop Downs INT'!$CJ$6:$CJ$747),"")</f>
        <v>DOTNET_DOTNET</v>
      </c>
      <c r="H54" s="1187" t="str">
        <f>_xlfn.XLOOKUP(F54,'Rates &amp; Drop Downs INT'!$DF$6:$DF$173,'Rates &amp; Drop Downs INT'!$DG$6:$DG$173,"")</f>
        <v/>
      </c>
      <c r="I54" s="1187"/>
      <c r="J54" s="1188"/>
      <c r="K54" s="1674" t="s">
        <v>542</v>
      </c>
      <c r="L54" s="1675"/>
      <c r="M54" s="1676"/>
      <c r="N54" s="1190" cm="1">
        <f t="array" ref="N54">IF($E$20="Credera US",V54,SUMPRODUCT(('Rates &amp; Drop Downs INT'!$CG$6:$CG$747=$D54)*('Rates &amp; Drop Downs INT'!$CI$6:$CI$747=$F54)*('Rates &amp; Drop Downs INT'!$CK$6:$CK$747=$K54)*('Rates &amp; Drop Downs INT'!$CM$6:$CM$747)))</f>
        <v>5</v>
      </c>
      <c r="O54" s="1681"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2055"/>
      <c r="Q54" s="2055"/>
      <c r="R54" s="2055"/>
      <c r="S54" s="2056"/>
      <c r="T54" s="1682"/>
      <c r="U54" s="1683"/>
      <c r="V54" s="1222">
        <f>IFERROR(IF(ISBLANK(K54)," ",_xlfn.XLOOKUP(K54,'Rates &amp; Drop Downs INT'!C:C,'Rates &amp; Drop Downs INT'!J:J)),N54)</f>
        <v>0</v>
      </c>
      <c r="W54" s="1203" t="str">
        <f t="shared" si="0"/>
        <v>Offshore</v>
      </c>
      <c r="X54" s="1203"/>
      <c r="Y54" s="880">
        <v>40</v>
      </c>
      <c r="Z54" s="1187"/>
      <c r="AA54" s="1190"/>
      <c r="AB54" s="1274"/>
      <c r="AC54" s="1653"/>
      <c r="AD54" s="1654"/>
      <c r="AE54" s="881"/>
      <c r="AF54" s="892"/>
      <c r="AH54" s="1709"/>
      <c r="AI54" s="1709"/>
      <c r="CM54" s="425"/>
    </row>
    <row r="55" spans="3:91" ht="16"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74"/>
      <c r="L55" s="1675"/>
      <c r="M55" s="1676"/>
      <c r="N55" s="1190" cm="1">
        <f t="array" ref="N55">IF($E$20="Credera US",V55,SUMPRODUCT(('Rates &amp; Drop Downs INT'!$CG$6:$CG$747=$D55)*('Rates &amp; Drop Downs INT'!$CI$6:$CI$747=$F55)*('Rates &amp; Drop Downs INT'!$CK$6:$CK$747=$K55)*('Rates &amp; Drop Downs INT'!$CM$6:$CM$747)))</f>
        <v>0</v>
      </c>
      <c r="O55" s="1681"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2055"/>
      <c r="Q55" s="2055"/>
      <c r="R55" s="2055"/>
      <c r="S55" s="2056"/>
      <c r="T55" s="1682"/>
      <c r="U55" s="1683"/>
      <c r="V55" s="1222" t="str">
        <f>IFERROR(IF(ISBLANK(K55)," ",_xlfn.XLOOKUP(K55,'Rates &amp; Drop Downs INT'!C:C,'Rates &amp; Drop Downs INT'!J:J)),N55)</f>
        <v xml:space="preserve"> </v>
      </c>
      <c r="W55" s="1203" t="str">
        <f t="shared" si="0"/>
        <v xml:space="preserve"> </v>
      </c>
      <c r="X55" s="1203"/>
      <c r="Y55" s="880">
        <v>40</v>
      </c>
      <c r="Z55" s="1187"/>
      <c r="AA55" s="1190"/>
      <c r="AB55" s="1274"/>
      <c r="AC55" s="1653"/>
      <c r="AD55" s="1654"/>
      <c r="AE55" s="881"/>
      <c r="AF55" s="892"/>
      <c r="AH55" s="1709"/>
      <c r="AI55" s="1709"/>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74"/>
      <c r="L56" s="1675"/>
      <c r="M56" s="1676"/>
      <c r="N56" s="1190" cm="1">
        <f t="array" ref="N56">IF($E$20="Credera US",V56,SUMPRODUCT(('Rates &amp; Drop Downs INT'!$CG$6:$CG$747=$D56)*('Rates &amp; Drop Downs INT'!$CI$6:$CI$747=$F56)*('Rates &amp; Drop Downs INT'!$CK$6:$CK$747=$K56)*('Rates &amp; Drop Downs INT'!$CM$6:$CM$747)))</f>
        <v>0</v>
      </c>
      <c r="O56" s="1681"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2055"/>
      <c r="Q56" s="2055"/>
      <c r="R56" s="2055"/>
      <c r="S56" s="2056"/>
      <c r="T56" s="1682"/>
      <c r="U56" s="1683"/>
      <c r="V56" s="1222" t="str">
        <f>IFERROR(IF(ISBLANK(K56)," ",_xlfn.XLOOKUP(K56,'Rates &amp; Drop Downs INT'!C:C,'Rates &amp; Drop Downs INT'!J:J)),N56)</f>
        <v xml:space="preserve"> </v>
      </c>
      <c r="W56" s="1203" t="str">
        <f t="shared" si="0"/>
        <v xml:space="preserve"> </v>
      </c>
      <c r="X56" s="1203"/>
      <c r="Y56" s="880" t="s">
        <v>2271</v>
      </c>
      <c r="Z56" s="1187"/>
      <c r="AA56" s="1190"/>
      <c r="AB56" s="1274"/>
      <c r="AC56" s="1653"/>
      <c r="AD56" s="1654"/>
      <c r="AE56" s="881"/>
      <c r="AF56" s="892"/>
      <c r="AH56" s="1709"/>
      <c r="AI56" s="1709"/>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74"/>
      <c r="L57" s="1675"/>
      <c r="M57" s="1676"/>
      <c r="N57" s="1190" cm="1">
        <f t="array" ref="N57">IF($E$20="Credera US",V57,SUMPRODUCT(('Rates &amp; Drop Downs INT'!$CG$6:$CG$747=$D57)*('Rates &amp; Drop Downs INT'!$CI$6:$CI$747=$F57)*('Rates &amp; Drop Downs INT'!$CK$6:$CK$747=$K57)*('Rates &amp; Drop Downs INT'!$CM$6:$CM$747)))</f>
        <v>0</v>
      </c>
      <c r="O57" s="1681"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2055"/>
      <c r="Q57" s="2055"/>
      <c r="R57" s="2055"/>
      <c r="S57" s="2056"/>
      <c r="T57" s="1682"/>
      <c r="U57" s="1683"/>
      <c r="V57" s="1222" t="str">
        <f>IFERROR(IF(ISBLANK(K57)," ",_xlfn.XLOOKUP(K57,'Rates &amp; Drop Downs INT'!C:C,'Rates &amp; Drop Downs INT'!J:J)),N57)</f>
        <v xml:space="preserve"> </v>
      </c>
      <c r="W57" s="1203" t="str">
        <f t="shared" si="0"/>
        <v xml:space="preserve"> </v>
      </c>
      <c r="X57" s="1203"/>
      <c r="Y57" s="880" t="s">
        <v>2271</v>
      </c>
      <c r="Z57" s="1187"/>
      <c r="AA57" s="1190"/>
      <c r="AB57" s="1274"/>
      <c r="AC57" s="1653"/>
      <c r="AD57" s="1654"/>
      <c r="AE57" s="881"/>
      <c r="AF57" s="892"/>
      <c r="AH57" s="1709"/>
      <c r="AI57" s="1709"/>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74"/>
      <c r="L58" s="1675"/>
      <c r="M58" s="1676"/>
      <c r="N58" s="1190" cm="1">
        <f t="array" ref="N58">IF($E$20="Credera US",V58,SUMPRODUCT(('Rates &amp; Drop Downs INT'!$CG$6:$CG$747=$D58)*('Rates &amp; Drop Downs INT'!$CI$6:$CI$747=$F58)*('Rates &amp; Drop Downs INT'!$CK$6:$CK$747=$K58)*('Rates &amp; Drop Downs INT'!$CM$6:$CM$747)))</f>
        <v>0</v>
      </c>
      <c r="O58" s="1681"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2055"/>
      <c r="Q58" s="2055"/>
      <c r="R58" s="2055"/>
      <c r="S58" s="2056"/>
      <c r="T58" s="1682"/>
      <c r="U58" s="1683"/>
      <c r="V58" s="1222" t="str">
        <f>IFERROR(IF(ISBLANK(K58)," ",_xlfn.XLOOKUP(K58,'Rates &amp; Drop Downs INT'!C:C,'Rates &amp; Drop Downs INT'!J:J)),N58)</f>
        <v xml:space="preserve"> </v>
      </c>
      <c r="W58" s="1203" t="str">
        <f t="shared" si="0"/>
        <v xml:space="preserve"> </v>
      </c>
      <c r="X58" s="1203"/>
      <c r="Y58" s="880" t="s">
        <v>2271</v>
      </c>
      <c r="Z58" s="1187"/>
      <c r="AA58" s="1190"/>
      <c r="AB58" s="1274"/>
      <c r="AC58" s="1653"/>
      <c r="AD58" s="1654"/>
      <c r="AE58" s="881"/>
      <c r="AF58" s="892"/>
      <c r="AH58" s="1709"/>
      <c r="AI58" s="1709"/>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74"/>
      <c r="L59" s="1675"/>
      <c r="M59" s="1676"/>
      <c r="N59" s="1190" cm="1">
        <f t="array" ref="N59">IF($E$20="Credera US",V59,SUMPRODUCT(('Rates &amp; Drop Downs INT'!$CG$6:$CG$747=$D59)*('Rates &amp; Drop Downs INT'!$CI$6:$CI$747=$F59)*('Rates &amp; Drop Downs INT'!$CK$6:$CK$747=$K59)*('Rates &amp; Drop Downs INT'!$CM$6:$CM$747)))</f>
        <v>0</v>
      </c>
      <c r="O59" s="1681"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2055"/>
      <c r="Q59" s="2055"/>
      <c r="R59" s="2055"/>
      <c r="S59" s="2056"/>
      <c r="T59" s="1682"/>
      <c r="U59" s="1683"/>
      <c r="V59" s="1222" t="str">
        <f>IFERROR(IF(ISBLANK(K59)," ",_xlfn.XLOOKUP(K59,'Rates &amp; Drop Downs INT'!C:C,'Rates &amp; Drop Downs INT'!J:J)),N59)</f>
        <v xml:space="preserve"> </v>
      </c>
      <c r="W59" s="1203" t="str">
        <f t="shared" si="0"/>
        <v xml:space="preserve"> </v>
      </c>
      <c r="X59" s="1203"/>
      <c r="Y59" s="880" t="s">
        <v>2271</v>
      </c>
      <c r="Z59" s="1187"/>
      <c r="AA59" s="1190"/>
      <c r="AB59" s="1274"/>
      <c r="AC59" s="1653"/>
      <c r="AD59" s="1654"/>
      <c r="AE59" s="881"/>
      <c r="AF59" s="892"/>
      <c r="AH59" s="1709"/>
      <c r="AI59" s="1709"/>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74"/>
      <c r="L60" s="1675"/>
      <c r="M60" s="1676"/>
      <c r="N60" s="1190" cm="1">
        <f t="array" ref="N60">IF($E$20="Credera US",V60,SUMPRODUCT(('Rates &amp; Drop Downs INT'!$CG$6:$CG$747=$D60)*('Rates &amp; Drop Downs INT'!$CI$6:$CI$747=$F60)*('Rates &amp; Drop Downs INT'!$CK$6:$CK$747=$K60)*('Rates &amp; Drop Downs INT'!$CM$6:$CM$747)))</f>
        <v>0</v>
      </c>
      <c r="O60" s="1681"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2055"/>
      <c r="Q60" s="2055"/>
      <c r="R60" s="2055"/>
      <c r="S60" s="2056"/>
      <c r="T60" s="1682"/>
      <c r="U60" s="1683"/>
      <c r="V60" s="1222" t="str">
        <f>IFERROR(IF(ISBLANK(K60)," ",_xlfn.XLOOKUP(K60,'Rates &amp; Drop Downs INT'!C:C,'Rates &amp; Drop Downs INT'!J:J)),N60)</f>
        <v xml:space="preserve"> </v>
      </c>
      <c r="W60" s="1203" t="str">
        <f t="shared" si="0"/>
        <v xml:space="preserve"> </v>
      </c>
      <c r="X60" s="1203"/>
      <c r="Y60" s="880" t="s">
        <v>2271</v>
      </c>
      <c r="Z60" s="1187"/>
      <c r="AA60" s="1190"/>
      <c r="AB60" s="1274"/>
      <c r="AC60" s="1653"/>
      <c r="AD60" s="1654"/>
      <c r="AE60" s="881"/>
      <c r="AF60" s="892"/>
      <c r="AH60" s="1709"/>
      <c r="AI60" s="1709"/>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74"/>
      <c r="L61" s="1675"/>
      <c r="M61" s="1676"/>
      <c r="N61" s="1190" cm="1">
        <f t="array" ref="N61">IF($E$20="Credera US",V61,SUMPRODUCT(('Rates &amp; Drop Downs INT'!$CG$6:$CG$747=$D61)*('Rates &amp; Drop Downs INT'!$CI$6:$CI$747=$F61)*('Rates &amp; Drop Downs INT'!$CK$6:$CK$747=$K61)*('Rates &amp; Drop Downs INT'!$CM$6:$CM$747)))</f>
        <v>0</v>
      </c>
      <c r="O61" s="1681"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2055"/>
      <c r="Q61" s="2055"/>
      <c r="R61" s="2055"/>
      <c r="S61" s="2056"/>
      <c r="T61" s="1682"/>
      <c r="U61" s="1683"/>
      <c r="V61" s="1222" t="str">
        <f>IFERROR(IF(ISBLANK(K61)," ",_xlfn.XLOOKUP(K61,'Rates &amp; Drop Downs INT'!C:C,'Rates &amp; Drop Downs INT'!J:J)),N61)</f>
        <v xml:space="preserve"> </v>
      </c>
      <c r="W61" s="1203" t="str">
        <f t="shared" si="0"/>
        <v xml:space="preserve"> </v>
      </c>
      <c r="X61" s="1203"/>
      <c r="Y61" s="880" t="s">
        <v>2271</v>
      </c>
      <c r="Z61" s="1187"/>
      <c r="AA61" s="1190"/>
      <c r="AB61" s="1274"/>
      <c r="AC61" s="1653"/>
      <c r="AD61" s="1654"/>
      <c r="AE61" s="881"/>
      <c r="AF61" s="892"/>
      <c r="AH61" s="1709"/>
      <c r="AI61" s="1709"/>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74"/>
      <c r="L62" s="1675"/>
      <c r="M62" s="1676"/>
      <c r="N62" s="1190" cm="1">
        <f t="array" ref="N62">IF($E$20="Credera US",V62,SUMPRODUCT(('Rates &amp; Drop Downs INT'!$CG$6:$CG$747=$D62)*('Rates &amp; Drop Downs INT'!$CI$6:$CI$747=$F62)*('Rates &amp; Drop Downs INT'!$CK$6:$CK$747=$K62)*('Rates &amp; Drop Downs INT'!$CM$6:$CM$747)))</f>
        <v>0</v>
      </c>
      <c r="O62" s="1681"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2055"/>
      <c r="Q62" s="2055"/>
      <c r="R62" s="2055"/>
      <c r="S62" s="2056"/>
      <c r="T62" s="1682"/>
      <c r="U62" s="1683"/>
      <c r="V62" s="1222" t="str">
        <f>IFERROR(IF(ISBLANK(K62)," ",_xlfn.XLOOKUP(K62,'Rates &amp; Drop Downs INT'!C:C,'Rates &amp; Drop Downs INT'!J:J)),N62)</f>
        <v xml:space="preserve"> </v>
      </c>
      <c r="W62" s="1203" t="str">
        <f t="shared" si="0"/>
        <v xml:space="preserve"> </v>
      </c>
      <c r="X62" s="1203"/>
      <c r="Y62" s="880" t="s">
        <v>2271</v>
      </c>
      <c r="Z62" s="1187"/>
      <c r="AA62" s="1190"/>
      <c r="AB62" s="1274"/>
      <c r="AC62" s="1653"/>
      <c r="AD62" s="1654"/>
      <c r="AE62" s="881"/>
      <c r="AF62" s="892"/>
      <c r="AH62" s="1709"/>
      <c r="AI62" s="1709"/>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74"/>
      <c r="L63" s="1675"/>
      <c r="M63" s="1676"/>
      <c r="N63" s="1190" cm="1">
        <f t="array" ref="N63">IF($E$20="Credera US",V63,SUMPRODUCT(('Rates &amp; Drop Downs INT'!$CG$6:$CG$747=$D63)*('Rates &amp; Drop Downs INT'!$CI$6:$CI$747=$F63)*('Rates &amp; Drop Downs INT'!$CK$6:$CK$747=$K63)*('Rates &amp; Drop Downs INT'!$CM$6:$CM$747)))</f>
        <v>0</v>
      </c>
      <c r="O63" s="1681"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2055"/>
      <c r="Q63" s="2055"/>
      <c r="R63" s="2055"/>
      <c r="S63" s="2056"/>
      <c r="T63" s="1682"/>
      <c r="U63" s="1683"/>
      <c r="V63" s="1222" t="str">
        <f>IFERROR(IF(ISBLANK(K63)," ",_xlfn.XLOOKUP(K63,'Rates &amp; Drop Downs INT'!C:C,'Rates &amp; Drop Downs INT'!J:J)),N63)</f>
        <v xml:space="preserve"> </v>
      </c>
      <c r="W63" s="1203" t="str">
        <f t="shared" si="0"/>
        <v xml:space="preserve"> </v>
      </c>
      <c r="X63" s="1203"/>
      <c r="Y63" s="880" t="s">
        <v>2271</v>
      </c>
      <c r="Z63" s="1187"/>
      <c r="AA63" s="1190"/>
      <c r="AB63" s="1274"/>
      <c r="AC63" s="1653"/>
      <c r="AD63" s="1654"/>
      <c r="AE63" s="881"/>
      <c r="AF63" s="892"/>
      <c r="AH63" s="1709"/>
      <c r="AI63" s="1709"/>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74"/>
      <c r="L64" s="1675"/>
      <c r="M64" s="1676"/>
      <c r="N64" s="1190" cm="1">
        <f t="array" ref="N64">IF($E$20="Credera US",V64,SUMPRODUCT(('Rates &amp; Drop Downs INT'!$CG$6:$CG$747=$D64)*('Rates &amp; Drop Downs INT'!$CI$6:$CI$747=$F64)*('Rates &amp; Drop Downs INT'!$CK$6:$CK$747=$K64)*('Rates &amp; Drop Downs INT'!$CM$6:$CM$747)))</f>
        <v>0</v>
      </c>
      <c r="O64" s="1681"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2055"/>
      <c r="Q64" s="2055"/>
      <c r="R64" s="2055"/>
      <c r="S64" s="2056"/>
      <c r="T64" s="1682"/>
      <c r="U64" s="1683"/>
      <c r="V64" s="1222" t="str">
        <f>IFERROR(IF(ISBLANK(K64)," ",_xlfn.XLOOKUP(K64,'Rates &amp; Drop Downs INT'!C:C,'Rates &amp; Drop Downs INT'!J:J)),N64)</f>
        <v xml:space="preserve"> </v>
      </c>
      <c r="W64" s="1203" t="str">
        <f t="shared" si="0"/>
        <v xml:space="preserve"> </v>
      </c>
      <c r="X64" s="1203"/>
      <c r="Y64" s="880" t="s">
        <v>2271</v>
      </c>
      <c r="Z64" s="1187"/>
      <c r="AA64" s="1190"/>
      <c r="AB64" s="1274"/>
      <c r="AC64" s="1653"/>
      <c r="AD64" s="1654"/>
      <c r="AE64" s="881"/>
      <c r="AF64" s="892"/>
      <c r="AH64" s="1709"/>
      <c r="AI64" s="1709"/>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74"/>
      <c r="L65" s="1675"/>
      <c r="M65" s="1676"/>
      <c r="N65" s="1190" cm="1">
        <f t="array" ref="N65">IF($E$20="Credera US",V65,SUMPRODUCT(('Rates &amp; Drop Downs INT'!$CG$6:$CG$747=$D65)*('Rates &amp; Drop Downs INT'!$CI$6:$CI$747=$F65)*('Rates &amp; Drop Downs INT'!$CK$6:$CK$747=$K65)*('Rates &amp; Drop Downs INT'!$CM$6:$CM$747)))</f>
        <v>0</v>
      </c>
      <c r="O65" s="1681"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2055"/>
      <c r="Q65" s="2055"/>
      <c r="R65" s="2055"/>
      <c r="S65" s="2056"/>
      <c r="T65" s="1682"/>
      <c r="U65" s="1683"/>
      <c r="V65" s="1222" t="str">
        <f>IFERROR(IF(ISBLANK(K65)," ",_xlfn.XLOOKUP(K65,'Rates &amp; Drop Downs INT'!C:C,'Rates &amp; Drop Downs INT'!J:J)),N65)</f>
        <v xml:space="preserve"> </v>
      </c>
      <c r="W65" s="1203" t="str">
        <f t="shared" si="0"/>
        <v xml:space="preserve"> </v>
      </c>
      <c r="X65" s="1203"/>
      <c r="Y65" s="880" t="s">
        <v>2271</v>
      </c>
      <c r="Z65" s="1187"/>
      <c r="AA65" s="1190"/>
      <c r="AB65" s="1274"/>
      <c r="AC65" s="1653"/>
      <c r="AD65" s="1654"/>
      <c r="AE65" s="881"/>
      <c r="AF65" s="892"/>
      <c r="AH65" s="1709"/>
      <c r="AI65" s="1709"/>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74"/>
      <c r="L66" s="1675"/>
      <c r="M66" s="1676"/>
      <c r="N66" s="1190" cm="1">
        <f t="array" ref="N66">IF($E$20="Credera US",V66,SUMPRODUCT(('Rates &amp; Drop Downs INT'!$CG$6:$CG$747=$D66)*('Rates &amp; Drop Downs INT'!$CI$6:$CI$747=$F66)*('Rates &amp; Drop Downs INT'!$CK$6:$CK$747=$K66)*('Rates &amp; Drop Downs INT'!$CM$6:$CM$747)))</f>
        <v>0</v>
      </c>
      <c r="O66" s="1681"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2055"/>
      <c r="Q66" s="2055"/>
      <c r="R66" s="2055"/>
      <c r="S66" s="2056"/>
      <c r="T66" s="1682"/>
      <c r="U66" s="1683"/>
      <c r="V66" s="1222" t="str">
        <f>IFERROR(IF(ISBLANK(K66)," ",_xlfn.XLOOKUP(K66,'Rates &amp; Drop Downs INT'!C:C,'Rates &amp; Drop Downs INT'!J:J)),N66)</f>
        <v xml:space="preserve"> </v>
      </c>
      <c r="W66" s="1203" t="str">
        <f t="shared" si="0"/>
        <v xml:space="preserve"> </v>
      </c>
      <c r="X66" s="1203"/>
      <c r="Y66" s="880" t="s">
        <v>2271</v>
      </c>
      <c r="Z66" s="1187"/>
      <c r="AA66" s="1190"/>
      <c r="AB66" s="1274"/>
      <c r="AC66" s="1653"/>
      <c r="AD66" s="1654"/>
      <c r="AE66" s="881"/>
      <c r="AF66" s="892"/>
      <c r="AH66" s="1709"/>
      <c r="AI66" s="1709"/>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74"/>
      <c r="L67" s="1675"/>
      <c r="M67" s="1676"/>
      <c r="N67" s="1190" cm="1">
        <f t="array" ref="N67">IF($E$20="Credera US",V67,SUMPRODUCT(('Rates &amp; Drop Downs INT'!$CG$6:$CG$747=$D67)*('Rates &amp; Drop Downs INT'!$CI$6:$CI$747=$F67)*('Rates &amp; Drop Downs INT'!$CK$6:$CK$747=$K67)*('Rates &amp; Drop Downs INT'!$CM$6:$CM$747)))</f>
        <v>0</v>
      </c>
      <c r="O67" s="1681"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2055"/>
      <c r="Q67" s="2055"/>
      <c r="R67" s="2055"/>
      <c r="S67" s="2056"/>
      <c r="T67" s="1682"/>
      <c r="U67" s="1683"/>
      <c r="V67" s="1222" t="str">
        <f>IFERROR(IF(ISBLANK(K67)," ",_xlfn.XLOOKUP(K67,'Rates &amp; Drop Downs INT'!C:C,'Rates &amp; Drop Downs INT'!J:J)),N67)</f>
        <v xml:space="preserve"> </v>
      </c>
      <c r="W67" s="1203" t="str">
        <f t="shared" si="0"/>
        <v xml:space="preserve"> </v>
      </c>
      <c r="X67" s="1203"/>
      <c r="Y67" s="880" t="s">
        <v>2271</v>
      </c>
      <c r="Z67" s="1187"/>
      <c r="AA67" s="1190"/>
      <c r="AB67" s="1274"/>
      <c r="AC67" s="1653"/>
      <c r="AD67" s="1654"/>
      <c r="AE67" s="881"/>
      <c r="AF67" s="892"/>
      <c r="AH67" s="1709"/>
      <c r="AI67" s="1709"/>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74"/>
      <c r="L68" s="1675"/>
      <c r="M68" s="1676"/>
      <c r="N68" s="1190" cm="1">
        <f t="array" ref="N68">IF($E$20="Credera US",V68,SUMPRODUCT(('Rates &amp; Drop Downs INT'!$CG$6:$CG$747=$D68)*('Rates &amp; Drop Downs INT'!$CI$6:$CI$747=$F68)*('Rates &amp; Drop Downs INT'!$CK$6:$CK$747=$K68)*('Rates &amp; Drop Downs INT'!$CM$6:$CM$747)))</f>
        <v>0</v>
      </c>
      <c r="O68" s="1681"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2055"/>
      <c r="Q68" s="2055"/>
      <c r="R68" s="2055"/>
      <c r="S68" s="2056"/>
      <c r="T68" s="1682"/>
      <c r="U68" s="1683"/>
      <c r="V68" s="1222" t="str">
        <f>IFERROR(IF(ISBLANK(K68)," ",_xlfn.XLOOKUP(K68,'Rates &amp; Drop Downs INT'!C:C,'Rates &amp; Drop Downs INT'!J:J)),N68)</f>
        <v xml:space="preserve"> </v>
      </c>
      <c r="W68" s="1203" t="str">
        <f t="shared" si="0"/>
        <v xml:space="preserve"> </v>
      </c>
      <c r="X68" s="1203"/>
      <c r="Y68" s="880" t="s">
        <v>2271</v>
      </c>
      <c r="Z68" s="1187"/>
      <c r="AA68" s="1190"/>
      <c r="AB68" s="1274"/>
      <c r="AC68" s="1653"/>
      <c r="AD68" s="1654"/>
      <c r="AE68" s="881"/>
      <c r="AF68" s="892"/>
      <c r="AH68" s="1709"/>
      <c r="AI68" s="1709"/>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74"/>
      <c r="L69" s="1675"/>
      <c r="M69" s="1676"/>
      <c r="N69" s="1190" cm="1">
        <f t="array" ref="N69">IF($E$20="Credera US",V69,SUMPRODUCT(('Rates &amp; Drop Downs INT'!$CG$6:$CG$747=$D69)*('Rates &amp; Drop Downs INT'!$CI$6:$CI$747=$F69)*('Rates &amp; Drop Downs INT'!$CK$6:$CK$747=$K69)*('Rates &amp; Drop Downs INT'!$CM$6:$CM$747)))</f>
        <v>0</v>
      </c>
      <c r="O69" s="1681"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2055"/>
      <c r="Q69" s="2055"/>
      <c r="R69" s="2055"/>
      <c r="S69" s="2056"/>
      <c r="T69" s="1682"/>
      <c r="U69" s="1683"/>
      <c r="V69" s="1222" t="str">
        <f>IFERROR(IF(ISBLANK(K69)," ",_xlfn.XLOOKUP(K69,'Rates &amp; Drop Downs INT'!C:C,'Rates &amp; Drop Downs INT'!J:J)),N69)</f>
        <v xml:space="preserve"> </v>
      </c>
      <c r="W69" s="1203" t="str">
        <f t="shared" si="0"/>
        <v xml:space="preserve"> </v>
      </c>
      <c r="X69" s="1203"/>
      <c r="Y69" s="880" t="s">
        <v>2271</v>
      </c>
      <c r="Z69" s="1187"/>
      <c r="AA69" s="1190"/>
      <c r="AB69" s="1274"/>
      <c r="AC69" s="1653"/>
      <c r="AD69" s="1654"/>
      <c r="AE69" s="881"/>
      <c r="AF69" s="892"/>
      <c r="AH69" s="1709"/>
      <c r="AI69" s="1709"/>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74"/>
      <c r="L70" s="1675"/>
      <c r="M70" s="1676"/>
      <c r="N70" s="1190" cm="1">
        <f t="array" ref="N70">IF($E$20="Credera US",V70,SUMPRODUCT(('Rates &amp; Drop Downs INT'!$CG$6:$CG$747=$D70)*('Rates &amp; Drop Downs INT'!$CI$6:$CI$747=$F70)*('Rates &amp; Drop Downs INT'!$CK$6:$CK$747=$K70)*('Rates &amp; Drop Downs INT'!$CM$6:$CM$747)))</f>
        <v>0</v>
      </c>
      <c r="O70" s="1681"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2055"/>
      <c r="Q70" s="2055"/>
      <c r="R70" s="2055"/>
      <c r="S70" s="2056"/>
      <c r="T70" s="1682"/>
      <c r="U70" s="1683"/>
      <c r="V70" s="1222" t="str">
        <f>IFERROR(IF(ISBLANK(K70)," ",_xlfn.XLOOKUP(K70,'Rates &amp; Drop Downs INT'!C:C,'Rates &amp; Drop Downs INT'!J:J)),N70)</f>
        <v xml:space="preserve"> </v>
      </c>
      <c r="W70" s="1203" t="str">
        <f t="shared" si="0"/>
        <v xml:space="preserve"> </v>
      </c>
      <c r="X70" s="1203"/>
      <c r="Y70" s="880" t="s">
        <v>2271</v>
      </c>
      <c r="Z70" s="1187"/>
      <c r="AA70" s="1190"/>
      <c r="AB70" s="1274"/>
      <c r="AC70" s="1653"/>
      <c r="AD70" s="1654"/>
      <c r="AE70" s="881"/>
      <c r="AF70" s="892"/>
      <c r="AH70" s="1709"/>
      <c r="AI70" s="1709"/>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74"/>
      <c r="L71" s="1675"/>
      <c r="M71" s="1676"/>
      <c r="N71" s="1190" cm="1">
        <f t="array" ref="N71">IF($E$20="Credera US",V71,SUMPRODUCT(('Rates &amp; Drop Downs INT'!$CG$6:$CG$747=$D71)*('Rates &amp; Drop Downs INT'!$CI$6:$CI$747=$F71)*('Rates &amp; Drop Downs INT'!$CK$6:$CK$747=$K71)*('Rates &amp; Drop Downs INT'!$CM$6:$CM$747)))</f>
        <v>0</v>
      </c>
      <c r="O71" s="1681"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2055"/>
      <c r="Q71" s="2055"/>
      <c r="R71" s="2055"/>
      <c r="S71" s="2056"/>
      <c r="T71" s="1682"/>
      <c r="U71" s="1683"/>
      <c r="V71" s="1222" t="str">
        <f>IFERROR(IF(ISBLANK(K71)," ",_xlfn.XLOOKUP(K71,'Rates &amp; Drop Downs INT'!C:C,'Rates &amp; Drop Downs INT'!J:J)),N71)</f>
        <v xml:space="preserve"> </v>
      </c>
      <c r="W71" s="1203" t="str">
        <f t="shared" si="0"/>
        <v xml:space="preserve"> </v>
      </c>
      <c r="X71" s="1203"/>
      <c r="Y71" s="880" t="s">
        <v>2271</v>
      </c>
      <c r="Z71" s="1187"/>
      <c r="AA71" s="1190"/>
      <c r="AB71" s="1274"/>
      <c r="AC71" s="1653"/>
      <c r="AD71" s="1654"/>
      <c r="AE71" s="881"/>
      <c r="AF71" s="892"/>
      <c r="AH71" s="1709"/>
      <c r="AI71" s="1709"/>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74"/>
      <c r="L72" s="1675"/>
      <c r="M72" s="1676"/>
      <c r="N72" s="1190" cm="1">
        <f t="array" ref="N72">IF($E$20="Credera US",V72,SUMPRODUCT(('Rates &amp; Drop Downs INT'!$CG$6:$CG$747=$D72)*('Rates &amp; Drop Downs INT'!$CI$6:$CI$747=$F72)*('Rates &amp; Drop Downs INT'!$CK$6:$CK$747=$K72)*('Rates &amp; Drop Downs INT'!$CM$6:$CM$747)))</f>
        <v>0</v>
      </c>
      <c r="O72" s="1681"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2055"/>
      <c r="Q72" s="2055"/>
      <c r="R72" s="2055"/>
      <c r="S72" s="2056"/>
      <c r="T72" s="1682"/>
      <c r="U72" s="1683"/>
      <c r="V72" s="1222" t="str">
        <f>IFERROR(IF(ISBLANK(K72)," ",_xlfn.XLOOKUP(K72,'Rates &amp; Drop Downs INT'!C:C,'Rates &amp; Drop Downs INT'!J:J)),N72)</f>
        <v xml:space="preserve"> </v>
      </c>
      <c r="W72" s="1203" t="str">
        <f t="shared" si="0"/>
        <v xml:space="preserve"> </v>
      </c>
      <c r="X72" s="1203"/>
      <c r="Y72" s="880" t="s">
        <v>2271</v>
      </c>
      <c r="Z72" s="1187"/>
      <c r="AA72" s="1190"/>
      <c r="AB72" s="1274"/>
      <c r="AC72" s="1653"/>
      <c r="AD72" s="1654"/>
      <c r="AE72" s="881"/>
      <c r="AF72" s="892"/>
      <c r="AH72" s="1709"/>
      <c r="AI72" s="1709"/>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74"/>
      <c r="L73" s="1675"/>
      <c r="M73" s="1676"/>
      <c r="N73" s="1190" cm="1">
        <f t="array" ref="N73">IF($E$20="Credera US",V73,SUMPRODUCT(('Rates &amp; Drop Downs INT'!$CG$6:$CG$747=$D73)*('Rates &amp; Drop Downs INT'!$CI$6:$CI$747=$F73)*('Rates &amp; Drop Downs INT'!$CK$6:$CK$747=$K73)*('Rates &amp; Drop Downs INT'!$CM$6:$CM$747)))</f>
        <v>0</v>
      </c>
      <c r="O73" s="1681"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2055"/>
      <c r="Q73" s="2055"/>
      <c r="R73" s="2055"/>
      <c r="S73" s="2056"/>
      <c r="T73" s="1682"/>
      <c r="U73" s="1683"/>
      <c r="V73" s="1222" t="str">
        <f>IFERROR(IF(ISBLANK(K73)," ",_xlfn.XLOOKUP(K73,'Rates &amp; Drop Downs INT'!C:C,'Rates &amp; Drop Downs INT'!J:J)),N73)</f>
        <v xml:space="preserve"> </v>
      </c>
      <c r="W73" s="1203" t="str">
        <f t="shared" si="0"/>
        <v xml:space="preserve"> </v>
      </c>
      <c r="X73" s="1203"/>
      <c r="Y73" s="880" t="s">
        <v>2271</v>
      </c>
      <c r="Z73" s="1187"/>
      <c r="AA73" s="1190"/>
      <c r="AB73" s="1274"/>
      <c r="AC73" s="1653"/>
      <c r="AD73" s="1654"/>
      <c r="AE73" s="881"/>
      <c r="AF73" s="892"/>
      <c r="AH73" s="1709"/>
      <c r="AI73" s="1709"/>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74"/>
      <c r="L74" s="1675"/>
      <c r="M74" s="1676"/>
      <c r="N74" s="1190" cm="1">
        <f t="array" ref="N74">IF($E$20="Credera US",V74,SUMPRODUCT(('Rates &amp; Drop Downs INT'!$CG$6:$CG$747=$D74)*('Rates &amp; Drop Downs INT'!$CI$6:$CI$747=$F74)*('Rates &amp; Drop Downs INT'!$CK$6:$CK$747=$K74)*('Rates &amp; Drop Downs INT'!$CM$6:$CM$747)))</f>
        <v>0</v>
      </c>
      <c r="O74" s="1681"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2055"/>
      <c r="Q74" s="2055"/>
      <c r="R74" s="2055"/>
      <c r="S74" s="2056"/>
      <c r="T74" s="1682"/>
      <c r="U74" s="1683"/>
      <c r="V74" s="1222" t="str">
        <f>IFERROR(IF(ISBLANK(K74)," ",_xlfn.XLOOKUP(K74,'Rates &amp; Drop Downs INT'!C:C,'Rates &amp; Drop Downs INT'!J:J)),N74)</f>
        <v xml:space="preserve"> </v>
      </c>
      <c r="W74" s="1203" t="str">
        <f t="shared" si="0"/>
        <v xml:space="preserve"> </v>
      </c>
      <c r="X74" s="1203"/>
      <c r="Y74" s="880" t="s">
        <v>2271</v>
      </c>
      <c r="Z74" s="1187"/>
      <c r="AA74" s="1190"/>
      <c r="AB74" s="1274"/>
      <c r="AC74" s="1653"/>
      <c r="AD74" s="1654"/>
      <c r="AE74" s="881"/>
      <c r="AF74" s="892"/>
      <c r="AH74" s="1709"/>
      <c r="AI74" s="1709"/>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74"/>
      <c r="L75" s="1675"/>
      <c r="M75" s="1676"/>
      <c r="N75" s="1190" cm="1">
        <f t="array" ref="N75">IF($E$20="Credera US",V75,SUMPRODUCT(('Rates &amp; Drop Downs INT'!$CG$6:$CG$747=$D75)*('Rates &amp; Drop Downs INT'!$CI$6:$CI$747=$F75)*('Rates &amp; Drop Downs INT'!$CK$6:$CK$747=$K75)*('Rates &amp; Drop Downs INT'!$CM$6:$CM$747)))</f>
        <v>0</v>
      </c>
      <c r="O75" s="1681"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2055"/>
      <c r="Q75" s="2055"/>
      <c r="R75" s="2055"/>
      <c r="S75" s="2056"/>
      <c r="T75" s="1682"/>
      <c r="U75" s="1683"/>
      <c r="V75" s="1222" t="str">
        <f>IFERROR(IF(ISBLANK(K75)," ",_xlfn.XLOOKUP(K75,'Rates &amp; Drop Downs INT'!C:C,'Rates &amp; Drop Downs INT'!J:J)),N75)</f>
        <v xml:space="preserve"> </v>
      </c>
      <c r="W75" s="1203" t="str">
        <f t="shared" si="0"/>
        <v xml:space="preserve"> </v>
      </c>
      <c r="X75" s="1203"/>
      <c r="Y75" s="880" t="s">
        <v>2271</v>
      </c>
      <c r="Z75" s="1187"/>
      <c r="AA75" s="1190"/>
      <c r="AB75" s="1274"/>
      <c r="AC75" s="1653"/>
      <c r="AD75" s="1654"/>
      <c r="AE75" s="881"/>
      <c r="AF75" s="892"/>
      <c r="AH75" s="1709"/>
      <c r="AI75" s="1709"/>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74"/>
      <c r="L76" s="1675"/>
      <c r="M76" s="1676"/>
      <c r="N76" s="1190" cm="1">
        <f t="array" ref="N76">IF($E$20="Credera US",V76,SUMPRODUCT(('Rates &amp; Drop Downs INT'!$CG$6:$CG$747=$D76)*('Rates &amp; Drop Downs INT'!$CI$6:$CI$747=$F76)*('Rates &amp; Drop Downs INT'!$CK$6:$CK$747=$K76)*('Rates &amp; Drop Downs INT'!$CM$6:$CM$747)))</f>
        <v>0</v>
      </c>
      <c r="O76" s="1681"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2055"/>
      <c r="Q76" s="2055"/>
      <c r="R76" s="2055"/>
      <c r="S76" s="2056"/>
      <c r="T76" s="1682"/>
      <c r="U76" s="1683"/>
      <c r="V76" s="1222" t="str">
        <f>IFERROR(IF(ISBLANK(K76)," ",_xlfn.XLOOKUP(K76,'Rates &amp; Drop Downs INT'!C:C,'Rates &amp; Drop Downs INT'!J:J)),N76)</f>
        <v xml:space="preserve"> </v>
      </c>
      <c r="W76" s="1203" t="str">
        <f t="shared" si="0"/>
        <v xml:space="preserve"> </v>
      </c>
      <c r="X76" s="1203"/>
      <c r="Y76" s="880" t="s">
        <v>2271</v>
      </c>
      <c r="Z76" s="1187"/>
      <c r="AA76" s="1190"/>
      <c r="AB76" s="1274"/>
      <c r="AC76" s="1653"/>
      <c r="AD76" s="1654"/>
      <c r="AE76" s="881"/>
      <c r="AF76" s="892"/>
      <c r="AH76" s="1709"/>
      <c r="AI76" s="1709"/>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74"/>
      <c r="L77" s="1675"/>
      <c r="M77" s="1676"/>
      <c r="N77" s="1190" cm="1">
        <f t="array" ref="N77">IF($E$20="Credera US",V77,SUMPRODUCT(('Rates &amp; Drop Downs INT'!$CG$6:$CG$747=$D77)*('Rates &amp; Drop Downs INT'!$CI$6:$CI$747=$F77)*('Rates &amp; Drop Downs INT'!$CK$6:$CK$747=$K77)*('Rates &amp; Drop Downs INT'!$CM$6:$CM$747)))</f>
        <v>0</v>
      </c>
      <c r="O77" s="1681"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2055"/>
      <c r="Q77" s="2055"/>
      <c r="R77" s="2055"/>
      <c r="S77" s="2056"/>
      <c r="T77" s="1682"/>
      <c r="U77" s="1683"/>
      <c r="V77" s="1222" t="str">
        <f>IFERROR(IF(ISBLANK(K77)," ",_xlfn.XLOOKUP(K77,'Rates &amp; Drop Downs INT'!C:C,'Rates &amp; Drop Downs INT'!J:J)),N77)</f>
        <v xml:space="preserve"> </v>
      </c>
      <c r="W77" s="1203" t="str">
        <f t="shared" si="0"/>
        <v xml:space="preserve"> </v>
      </c>
      <c r="X77" s="1203"/>
      <c r="Y77" s="880" t="s">
        <v>2271</v>
      </c>
      <c r="Z77" s="1187"/>
      <c r="AA77" s="1190"/>
      <c r="AB77" s="1274"/>
      <c r="AC77" s="1653"/>
      <c r="AD77" s="1654"/>
      <c r="AE77" s="881"/>
      <c r="AF77" s="892"/>
      <c r="AH77" s="1709"/>
      <c r="AI77" s="1709"/>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74"/>
      <c r="L78" s="1675"/>
      <c r="M78" s="1676"/>
      <c r="N78" s="1190" cm="1">
        <f t="array" ref="N78">IF($E$20="Credera US",V78,SUMPRODUCT(('Rates &amp; Drop Downs INT'!$CG$6:$CG$747=$D78)*('Rates &amp; Drop Downs INT'!$CI$6:$CI$747=$F78)*('Rates &amp; Drop Downs INT'!$CK$6:$CK$747=$K78)*('Rates &amp; Drop Downs INT'!$CM$6:$CM$747)))</f>
        <v>0</v>
      </c>
      <c r="O78" s="1681"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2055"/>
      <c r="Q78" s="2055"/>
      <c r="R78" s="2055"/>
      <c r="S78" s="2056"/>
      <c r="T78" s="1682"/>
      <c r="U78" s="1683"/>
      <c r="V78" s="1222" t="str">
        <f>IFERROR(IF(ISBLANK(K78)," ",_xlfn.XLOOKUP(K78,'Rates &amp; Drop Downs INT'!C:C,'Rates &amp; Drop Downs INT'!J:J)),N78)</f>
        <v xml:space="preserve"> </v>
      </c>
      <c r="W78" s="1203" t="str">
        <f t="shared" si="0"/>
        <v xml:space="preserve"> </v>
      </c>
      <c r="X78" s="1203"/>
      <c r="Y78" s="880" t="s">
        <v>2271</v>
      </c>
      <c r="Z78" s="1187"/>
      <c r="AA78" s="1190"/>
      <c r="AB78" s="1274"/>
      <c r="AC78" s="1653"/>
      <c r="AD78" s="1654"/>
      <c r="AE78" s="881"/>
      <c r="AF78" s="892"/>
      <c r="AH78" s="1709"/>
      <c r="AI78" s="1709"/>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74"/>
      <c r="L79" s="1675"/>
      <c r="M79" s="1676"/>
      <c r="N79" s="1190" cm="1">
        <f t="array" ref="N79">IF($E$20="Credera US",V79,SUMPRODUCT(('Rates &amp; Drop Downs INT'!$CG$6:$CG$747=$D79)*('Rates &amp; Drop Downs INT'!$CI$6:$CI$747=$F79)*('Rates &amp; Drop Downs INT'!$CK$6:$CK$747=$K79)*('Rates &amp; Drop Downs INT'!$CM$6:$CM$747)))</f>
        <v>0</v>
      </c>
      <c r="O79" s="1681"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2055"/>
      <c r="Q79" s="2055"/>
      <c r="R79" s="2055"/>
      <c r="S79" s="2056"/>
      <c r="T79" s="1682"/>
      <c r="U79" s="1683"/>
      <c r="V79" s="1222" t="str">
        <f>IFERROR(IF(ISBLANK(K79)," ",_xlfn.XLOOKUP(K79,'Rates &amp; Drop Downs INT'!C:C,'Rates &amp; Drop Downs INT'!J:J)),N79)</f>
        <v xml:space="preserve"> </v>
      </c>
      <c r="W79" s="1203" t="str">
        <f t="shared" si="0"/>
        <v xml:space="preserve"> </v>
      </c>
      <c r="X79" s="1203"/>
      <c r="Y79" s="880" t="s">
        <v>2271</v>
      </c>
      <c r="Z79" s="1187"/>
      <c r="AA79" s="1190"/>
      <c r="AB79" s="1274"/>
      <c r="AC79" s="1653"/>
      <c r="AD79" s="1654"/>
      <c r="AE79" s="881"/>
      <c r="AF79" s="892"/>
      <c r="AH79" s="1709"/>
      <c r="AI79" s="1709"/>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74"/>
      <c r="L80" s="1675"/>
      <c r="M80" s="1676"/>
      <c r="N80" s="1190" cm="1">
        <f t="array" ref="N80">IF($E$20="Credera US",V80,SUMPRODUCT(('Rates &amp; Drop Downs INT'!$CG$6:$CG$747=$D80)*('Rates &amp; Drop Downs INT'!$CI$6:$CI$747=$F80)*('Rates &amp; Drop Downs INT'!$CK$6:$CK$747=$K80)*('Rates &amp; Drop Downs INT'!$CM$6:$CM$747)))</f>
        <v>0</v>
      </c>
      <c r="O80" s="1681"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2055"/>
      <c r="Q80" s="2055"/>
      <c r="R80" s="2055"/>
      <c r="S80" s="2056"/>
      <c r="T80" s="1682"/>
      <c r="U80" s="1683"/>
      <c r="V80" s="1222" t="str">
        <f>IFERROR(IF(ISBLANK(K80)," ",_xlfn.XLOOKUP(K80,'Rates &amp; Drop Downs INT'!C:C,'Rates &amp; Drop Downs INT'!J:J)),N80)</f>
        <v xml:space="preserve"> </v>
      </c>
      <c r="W80" s="1203" t="str">
        <f t="shared" si="0"/>
        <v xml:space="preserve"> </v>
      </c>
      <c r="X80" s="1203"/>
      <c r="Y80" s="880" t="s">
        <v>2271</v>
      </c>
      <c r="Z80" s="1187"/>
      <c r="AA80" s="1190"/>
      <c r="AB80" s="1274"/>
      <c r="AC80" s="1653"/>
      <c r="AD80" s="1654"/>
      <c r="AE80" s="881"/>
      <c r="AF80" s="892"/>
      <c r="AH80" s="1709"/>
      <c r="AI80" s="1709"/>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74"/>
      <c r="L81" s="1675"/>
      <c r="M81" s="1676"/>
      <c r="N81" s="1190" cm="1">
        <f t="array" ref="N81">IF($E$20="Credera US",V81,SUMPRODUCT(('Rates &amp; Drop Downs INT'!$CG$6:$CG$747=$D81)*('Rates &amp; Drop Downs INT'!$CI$6:$CI$747=$F81)*('Rates &amp; Drop Downs INT'!$CK$6:$CK$747=$K81)*('Rates &amp; Drop Downs INT'!$CM$6:$CM$747)))</f>
        <v>0</v>
      </c>
      <c r="O81" s="1681"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2055"/>
      <c r="Q81" s="2055"/>
      <c r="R81" s="2055"/>
      <c r="S81" s="2056"/>
      <c r="T81" s="1682"/>
      <c r="U81" s="1683"/>
      <c r="V81" s="1222" t="str">
        <f>IFERROR(IF(ISBLANK(K81)," ",_xlfn.XLOOKUP(K81,'Rates &amp; Drop Downs INT'!C:C,'Rates &amp; Drop Downs INT'!J:J)),N81)</f>
        <v xml:space="preserve"> </v>
      </c>
      <c r="W81" s="1203" t="str">
        <f t="shared" si="0"/>
        <v xml:space="preserve"> </v>
      </c>
      <c r="X81" s="1203"/>
      <c r="Y81" s="880" t="s">
        <v>2271</v>
      </c>
      <c r="Z81" s="1187"/>
      <c r="AA81" s="1190"/>
      <c r="AB81" s="1274"/>
      <c r="AC81" s="1653"/>
      <c r="AD81" s="1654"/>
      <c r="AE81" s="881"/>
      <c r="AF81" s="892"/>
      <c r="AH81" s="1709"/>
      <c r="AI81" s="1709"/>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74"/>
      <c r="L82" s="1675"/>
      <c r="M82" s="1676"/>
      <c r="N82" s="1190" cm="1">
        <f t="array" ref="N82">IF($E$20="Credera US",V82,SUMPRODUCT(('Rates &amp; Drop Downs INT'!$CG$6:$CG$747=$D82)*('Rates &amp; Drop Downs INT'!$CI$6:$CI$747=$F82)*('Rates &amp; Drop Downs INT'!$CK$6:$CK$747=$K82)*('Rates &amp; Drop Downs INT'!$CM$6:$CM$747)))</f>
        <v>0</v>
      </c>
      <c r="O82" s="1681"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2055"/>
      <c r="Q82" s="2055"/>
      <c r="R82" s="2055"/>
      <c r="S82" s="2056"/>
      <c r="T82" s="1682"/>
      <c r="U82" s="1683"/>
      <c r="V82" s="1222" t="str">
        <f>IFERROR(IF(ISBLANK(K82)," ",_xlfn.XLOOKUP(K82,'Rates &amp; Drop Downs INT'!C:C,'Rates &amp; Drop Downs INT'!J:J)),N82)</f>
        <v xml:space="preserve"> </v>
      </c>
      <c r="W82" s="1203" t="str">
        <f t="shared" si="0"/>
        <v xml:space="preserve"> </v>
      </c>
      <c r="X82" s="1203"/>
      <c r="Y82" s="880" t="s">
        <v>2271</v>
      </c>
      <c r="Z82" s="1187"/>
      <c r="AA82" s="1190"/>
      <c r="AB82" s="1274"/>
      <c r="AC82" s="1653"/>
      <c r="AD82" s="1654"/>
      <c r="AE82" s="881"/>
      <c r="AF82" s="892"/>
      <c r="AH82" s="1709"/>
      <c r="AI82" s="1709"/>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74"/>
      <c r="L83" s="1675"/>
      <c r="M83" s="1676"/>
      <c r="N83" s="1190" cm="1">
        <f t="array" ref="N83">IF($E$20="Credera US",V83,SUMPRODUCT(('Rates &amp; Drop Downs INT'!$CG$6:$CG$747=$D83)*('Rates &amp; Drop Downs INT'!$CI$6:$CI$747=$F83)*('Rates &amp; Drop Downs INT'!$CK$6:$CK$747=$K83)*('Rates &amp; Drop Downs INT'!$CM$6:$CM$747)))</f>
        <v>0</v>
      </c>
      <c r="O83" s="1681"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2055"/>
      <c r="Q83" s="2055"/>
      <c r="R83" s="2055"/>
      <c r="S83" s="2056"/>
      <c r="T83" s="1682"/>
      <c r="U83" s="1683"/>
      <c r="V83" s="1222" t="str">
        <f>IFERROR(IF(ISBLANK(K83)," ",_xlfn.XLOOKUP(K83,'Rates &amp; Drop Downs INT'!C:C,'Rates &amp; Drop Downs INT'!J:J)),N83)</f>
        <v xml:space="preserve"> </v>
      </c>
      <c r="W83" s="1203" t="str">
        <f t="shared" si="0"/>
        <v xml:space="preserve"> </v>
      </c>
      <c r="X83" s="1203"/>
      <c r="Y83" s="880" t="s">
        <v>2271</v>
      </c>
      <c r="Z83" s="1187"/>
      <c r="AA83" s="1190"/>
      <c r="AB83" s="1274"/>
      <c r="AC83" s="1653"/>
      <c r="AD83" s="1654"/>
      <c r="AE83" s="881"/>
      <c r="AF83" s="892"/>
      <c r="AH83" s="1709"/>
      <c r="AI83" s="1709"/>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74"/>
      <c r="L84" s="1675"/>
      <c r="M84" s="1676"/>
      <c r="N84" s="1190" cm="1">
        <f t="array" ref="N84">IF($E$20="Credera US",V84,SUMPRODUCT(('Rates &amp; Drop Downs INT'!$CG$6:$CG$747=$D84)*('Rates &amp; Drop Downs INT'!$CI$6:$CI$747=$F84)*('Rates &amp; Drop Downs INT'!$CK$6:$CK$747=$K84)*('Rates &amp; Drop Downs INT'!$CM$6:$CM$747)))</f>
        <v>0</v>
      </c>
      <c r="O84" s="1681"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2055"/>
      <c r="Q84" s="2055"/>
      <c r="R84" s="2055"/>
      <c r="S84" s="2056"/>
      <c r="T84" s="1682"/>
      <c r="U84" s="1683"/>
      <c r="V84" s="1222" t="str">
        <f>IFERROR(IF(ISBLANK(K84)," ",_xlfn.XLOOKUP(K84,'Rates &amp; Drop Downs INT'!C:C,'Rates &amp; Drop Downs INT'!J:J)),N84)</f>
        <v xml:space="preserve"> </v>
      </c>
      <c r="W84" s="1203" t="str">
        <f t="shared" si="0"/>
        <v xml:space="preserve"> </v>
      </c>
      <c r="X84" s="1203"/>
      <c r="Y84" s="880" t="s">
        <v>2271</v>
      </c>
      <c r="Z84" s="1187"/>
      <c r="AA84" s="1190"/>
      <c r="AB84" s="1274"/>
      <c r="AC84" s="1653"/>
      <c r="AD84" s="1654"/>
      <c r="AE84" s="881"/>
      <c r="AF84" s="892"/>
      <c r="AH84" s="1709"/>
      <c r="AI84" s="1709"/>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74"/>
      <c r="L85" s="1675"/>
      <c r="M85" s="1676"/>
      <c r="N85" s="1190" cm="1">
        <f t="array" ref="N85">IF($E$20="Credera US",V85,SUMPRODUCT(('Rates &amp; Drop Downs INT'!$CG$6:$CG$747=$D85)*('Rates &amp; Drop Downs INT'!$CI$6:$CI$747=$F85)*('Rates &amp; Drop Downs INT'!$CK$6:$CK$747=$K85)*('Rates &amp; Drop Downs INT'!$CM$6:$CM$747)))</f>
        <v>0</v>
      </c>
      <c r="O85" s="1681"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2055"/>
      <c r="Q85" s="2055"/>
      <c r="R85" s="2055"/>
      <c r="S85" s="2056"/>
      <c r="T85" s="1682"/>
      <c r="U85" s="1683"/>
      <c r="V85" s="1222" t="str">
        <f>IFERROR(IF(ISBLANK(K85)," ",_xlfn.XLOOKUP(K85,'Rates &amp; Drop Downs INT'!C:C,'Rates &amp; Drop Downs INT'!J:J)),N85)</f>
        <v xml:space="preserve"> </v>
      </c>
      <c r="W85" s="1203" t="str">
        <f t="shared" si="0"/>
        <v xml:space="preserve"> </v>
      </c>
      <c r="X85" s="1203"/>
      <c r="Y85" s="880" t="s">
        <v>2271</v>
      </c>
      <c r="Z85" s="1187"/>
      <c r="AA85" s="1190"/>
      <c r="AB85" s="1274"/>
      <c r="AC85" s="1653"/>
      <c r="AD85" s="1654"/>
      <c r="AE85" s="881"/>
      <c r="AF85" s="892"/>
      <c r="AH85" s="1709"/>
      <c r="AI85" s="1709"/>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74"/>
      <c r="L86" s="1675"/>
      <c r="M86" s="1676"/>
      <c r="N86" s="1190" cm="1">
        <f t="array" ref="N86">IF($E$20="Credera US",V86,SUMPRODUCT(('Rates &amp; Drop Downs INT'!$CG$6:$CG$747=$D86)*('Rates &amp; Drop Downs INT'!$CI$6:$CI$747=$F86)*('Rates &amp; Drop Downs INT'!$CK$6:$CK$747=$K86)*('Rates &amp; Drop Downs INT'!$CM$6:$CM$747)))</f>
        <v>0</v>
      </c>
      <c r="O86" s="1681"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2055"/>
      <c r="Q86" s="2055"/>
      <c r="R86" s="2055"/>
      <c r="S86" s="2056"/>
      <c r="T86" s="1682"/>
      <c r="U86" s="1683"/>
      <c r="V86" s="1222" t="str">
        <f>IFERROR(IF(ISBLANK(K86)," ",_xlfn.XLOOKUP(K86,'Rates &amp; Drop Downs INT'!C:C,'Rates &amp; Drop Downs INT'!J:J)),N86)</f>
        <v xml:space="preserve"> </v>
      </c>
      <c r="W86" s="1203" t="str">
        <f t="shared" si="0"/>
        <v xml:space="preserve"> </v>
      </c>
      <c r="X86" s="1203"/>
      <c r="Y86" s="880" t="s">
        <v>2271</v>
      </c>
      <c r="Z86" s="1187"/>
      <c r="AA86" s="1190"/>
      <c r="AB86" s="1274"/>
      <c r="AC86" s="1653"/>
      <c r="AD86" s="1654"/>
      <c r="AE86" s="881"/>
      <c r="AF86" s="892"/>
      <c r="AH86" s="1709"/>
      <c r="AI86" s="1709"/>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74"/>
      <c r="L87" s="1675"/>
      <c r="M87" s="1676"/>
      <c r="N87" s="1190" cm="1">
        <f t="array" ref="N87">IF($E$20="Credera US",V87,SUMPRODUCT(('Rates &amp; Drop Downs INT'!$CG$6:$CG$747=$D87)*('Rates &amp; Drop Downs INT'!$CI$6:$CI$747=$F87)*('Rates &amp; Drop Downs INT'!$CK$6:$CK$747=$K87)*('Rates &amp; Drop Downs INT'!$CM$6:$CM$747)))</f>
        <v>0</v>
      </c>
      <c r="O87" s="1681"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2055"/>
      <c r="Q87" s="2055"/>
      <c r="R87" s="2055"/>
      <c r="S87" s="2056"/>
      <c r="T87" s="1682"/>
      <c r="U87" s="1683"/>
      <c r="V87" s="1222" t="str">
        <f>IFERROR(IF(ISBLANK(K87)," ",_xlfn.XLOOKUP(K87,'Rates &amp; Drop Downs INT'!C:C,'Rates &amp; Drop Downs INT'!J:J)),N87)</f>
        <v xml:space="preserve"> </v>
      </c>
      <c r="W87" s="1203" t="str">
        <f t="shared" si="0"/>
        <v xml:space="preserve"> </v>
      </c>
      <c r="X87" s="1203"/>
      <c r="Y87" s="880" t="s">
        <v>2271</v>
      </c>
      <c r="Z87" s="1187"/>
      <c r="AA87" s="1190"/>
      <c r="AB87" s="1274"/>
      <c r="AC87" s="1653"/>
      <c r="AD87" s="1654"/>
      <c r="AE87" s="881"/>
      <c r="AF87" s="892"/>
      <c r="AH87" s="1709"/>
      <c r="AI87" s="1709"/>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74"/>
      <c r="L88" s="1675"/>
      <c r="M88" s="1676"/>
      <c r="N88" s="1190" cm="1">
        <f t="array" ref="N88">IF($E$20="Credera US",V88,SUMPRODUCT(('Rates &amp; Drop Downs INT'!$CG$6:$CG$747=$D88)*('Rates &amp; Drop Downs INT'!$CI$6:$CI$747=$F88)*('Rates &amp; Drop Downs INT'!$CK$6:$CK$747=$K88)*('Rates &amp; Drop Downs INT'!$CM$6:$CM$747)))</f>
        <v>0</v>
      </c>
      <c r="O88" s="1681"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2055"/>
      <c r="Q88" s="2055"/>
      <c r="R88" s="2055"/>
      <c r="S88" s="2056"/>
      <c r="T88" s="1682"/>
      <c r="U88" s="1683"/>
      <c r="V88" s="1222" t="str">
        <f>IFERROR(IF(ISBLANK(K88)," ",_xlfn.XLOOKUP(K88,'Rates &amp; Drop Downs INT'!C:C,'Rates &amp; Drop Downs INT'!J:J)),N88)</f>
        <v xml:space="preserve"> </v>
      </c>
      <c r="W88" s="1203" t="str">
        <f t="shared" si="0"/>
        <v xml:space="preserve"> </v>
      </c>
      <c r="X88" s="1203"/>
      <c r="Y88" s="880" t="s">
        <v>2271</v>
      </c>
      <c r="Z88" s="1187"/>
      <c r="AA88" s="1190"/>
      <c r="AB88" s="1274"/>
      <c r="AC88" s="1653"/>
      <c r="AD88" s="1654"/>
      <c r="AE88" s="881"/>
      <c r="AF88" s="892"/>
      <c r="AH88" s="1709"/>
      <c r="AI88" s="1709"/>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74"/>
      <c r="L89" s="1675"/>
      <c r="M89" s="1676"/>
      <c r="N89" s="1190" cm="1">
        <f t="array" ref="N89">IF($E$20="Credera US",V89,SUMPRODUCT(('Rates &amp; Drop Downs INT'!$CG$6:$CG$747=$D89)*('Rates &amp; Drop Downs INT'!$CI$6:$CI$747=$F89)*('Rates &amp; Drop Downs INT'!$CK$6:$CK$747=$K89)*('Rates &amp; Drop Downs INT'!$CM$6:$CM$747)))</f>
        <v>0</v>
      </c>
      <c r="O89" s="1681"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2055"/>
      <c r="Q89" s="2055"/>
      <c r="R89" s="2055"/>
      <c r="S89" s="2056"/>
      <c r="T89" s="1682"/>
      <c r="U89" s="1683"/>
      <c r="V89" s="1222" t="str">
        <f>IFERROR(IF(ISBLANK(K89)," ",_xlfn.XLOOKUP(K89,'Rates &amp; Drop Downs INT'!C:C,'Rates &amp; Drop Downs INT'!J:J)),N89)</f>
        <v xml:space="preserve"> </v>
      </c>
      <c r="W89" s="1203" t="str">
        <f t="shared" si="0"/>
        <v xml:space="preserve"> </v>
      </c>
      <c r="X89" s="1203"/>
      <c r="Y89" s="880" t="s">
        <v>2271</v>
      </c>
      <c r="Z89" s="1187"/>
      <c r="AA89" s="1190"/>
      <c r="AB89" s="1274"/>
      <c r="AC89" s="1653"/>
      <c r="AD89" s="1654"/>
      <c r="AE89" s="881"/>
      <c r="AF89" s="892"/>
      <c r="AH89" s="1709"/>
      <c r="AI89" s="1709"/>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74"/>
      <c r="L90" s="1675"/>
      <c r="M90" s="1676"/>
      <c r="N90" s="1190" cm="1">
        <f t="array" ref="N90">IF($E$20="Credera US",V90,SUMPRODUCT(('Rates &amp; Drop Downs INT'!$CG$6:$CG$747=$D90)*('Rates &amp; Drop Downs INT'!$CI$6:$CI$747=$F90)*('Rates &amp; Drop Downs INT'!$CK$6:$CK$747=$K90)*('Rates &amp; Drop Downs INT'!$CM$6:$CM$747)))</f>
        <v>0</v>
      </c>
      <c r="O90" s="1681"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2055"/>
      <c r="Q90" s="2055"/>
      <c r="R90" s="2055"/>
      <c r="S90" s="2056"/>
      <c r="T90" s="1682"/>
      <c r="U90" s="1683"/>
      <c r="V90" s="1222" t="str">
        <f>IFERROR(IF(ISBLANK(K90)," ",_xlfn.XLOOKUP(K90,'Rates &amp; Drop Downs INT'!C:C,'Rates &amp; Drop Downs INT'!J:J)),N90)</f>
        <v xml:space="preserve"> </v>
      </c>
      <c r="W90" s="1203" t="str">
        <f t="shared" si="0"/>
        <v xml:space="preserve"> </v>
      </c>
      <c r="X90" s="1203"/>
      <c r="Y90" s="880" t="s">
        <v>2271</v>
      </c>
      <c r="Z90" s="1187"/>
      <c r="AA90" s="1190"/>
      <c r="AB90" s="1274"/>
      <c r="AC90" s="1653"/>
      <c r="AD90" s="1654"/>
      <c r="AE90" s="881"/>
      <c r="AF90" s="892"/>
      <c r="AH90" s="1709"/>
      <c r="AI90" s="1709"/>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74"/>
      <c r="L91" s="1675"/>
      <c r="M91" s="1676"/>
      <c r="N91" s="1190" cm="1">
        <f t="array" ref="N91">IF($E$20="Credera US",V91,SUMPRODUCT(('Rates &amp; Drop Downs INT'!$CG$6:$CG$747=$D91)*('Rates &amp; Drop Downs INT'!$CI$6:$CI$747=$F91)*('Rates &amp; Drop Downs INT'!$CK$6:$CK$747=$K91)*('Rates &amp; Drop Downs INT'!$CM$6:$CM$747)))</f>
        <v>0</v>
      </c>
      <c r="O91" s="1681"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2055"/>
      <c r="Q91" s="2055"/>
      <c r="R91" s="2055"/>
      <c r="S91" s="2056"/>
      <c r="T91" s="1682"/>
      <c r="U91" s="1683"/>
      <c r="V91" s="1222" t="str">
        <f>IFERROR(IF(ISBLANK(K91)," ",_xlfn.XLOOKUP(K91,'Rates &amp; Drop Downs INT'!C:C,'Rates &amp; Drop Downs INT'!J:J)),N91)</f>
        <v xml:space="preserve"> </v>
      </c>
      <c r="W91" s="1203" t="str">
        <f t="shared" si="0"/>
        <v xml:space="preserve"> </v>
      </c>
      <c r="X91" s="1203"/>
      <c r="Y91" s="880" t="s">
        <v>2271</v>
      </c>
      <c r="Z91" s="1187"/>
      <c r="AA91" s="1190"/>
      <c r="AB91" s="1274"/>
      <c r="AC91" s="1653"/>
      <c r="AD91" s="1654"/>
      <c r="AE91" s="881"/>
      <c r="AF91" s="892"/>
      <c r="AH91" s="1709"/>
      <c r="AI91" s="1709"/>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74"/>
      <c r="L92" s="1675"/>
      <c r="M92" s="1676"/>
      <c r="N92" s="1190" cm="1">
        <f t="array" ref="N92">IF($E$20="Credera US",V92,SUMPRODUCT(('Rates &amp; Drop Downs INT'!$CG$6:$CG$747=$D92)*('Rates &amp; Drop Downs INT'!$CI$6:$CI$747=$F92)*('Rates &amp; Drop Downs INT'!$CK$6:$CK$747=$K92)*('Rates &amp; Drop Downs INT'!$CM$6:$CM$747)))</f>
        <v>0</v>
      </c>
      <c r="O92" s="1681"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2055"/>
      <c r="Q92" s="2055"/>
      <c r="R92" s="2055"/>
      <c r="S92" s="2056"/>
      <c r="T92" s="1682"/>
      <c r="U92" s="1683"/>
      <c r="V92" s="1222" t="str">
        <f>IFERROR(IF(ISBLANK(K92)," ",_xlfn.XLOOKUP(K92,'Rates &amp; Drop Downs INT'!C:C,'Rates &amp; Drop Downs INT'!J:J)),N92)</f>
        <v xml:space="preserve"> </v>
      </c>
      <c r="W92" s="1203" t="str">
        <f t="shared" si="0"/>
        <v xml:space="preserve"> </v>
      </c>
      <c r="X92" s="1203"/>
      <c r="Y92" s="880" t="s">
        <v>2271</v>
      </c>
      <c r="Z92" s="1187"/>
      <c r="AA92" s="1190"/>
      <c r="AB92" s="1274"/>
      <c r="AC92" s="1653"/>
      <c r="AD92" s="1654"/>
      <c r="AE92" s="881"/>
      <c r="AF92" s="892"/>
      <c r="AH92" s="1709"/>
      <c r="AI92" s="1709"/>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74"/>
      <c r="L93" s="1675"/>
      <c r="M93" s="1676"/>
      <c r="N93" s="1190" cm="1">
        <f t="array" ref="N93">IF($E$20="Credera US",V93,SUMPRODUCT(('Rates &amp; Drop Downs INT'!$CG$6:$CG$747=$D93)*('Rates &amp; Drop Downs INT'!$CI$6:$CI$747=$F93)*('Rates &amp; Drop Downs INT'!$CK$6:$CK$747=$K93)*('Rates &amp; Drop Downs INT'!$CM$6:$CM$747)))</f>
        <v>0</v>
      </c>
      <c r="O93" s="1681"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2055"/>
      <c r="Q93" s="2055"/>
      <c r="R93" s="2055"/>
      <c r="S93" s="2056"/>
      <c r="T93" s="1682"/>
      <c r="U93" s="1683"/>
      <c r="V93" s="1222" t="str">
        <f>IFERROR(IF(ISBLANK(K93)," ",_xlfn.XLOOKUP(K93,'Rates &amp; Drop Downs INT'!C:C,'Rates &amp; Drop Downs INT'!J:J)),N93)</f>
        <v xml:space="preserve"> </v>
      </c>
      <c r="W93" s="1203" t="str">
        <f t="shared" si="0"/>
        <v xml:space="preserve"> </v>
      </c>
      <c r="X93" s="1203"/>
      <c r="Y93" s="880" t="s">
        <v>2271</v>
      </c>
      <c r="Z93" s="1187"/>
      <c r="AA93" s="1190"/>
      <c r="AB93" s="1274"/>
      <c r="AC93" s="1653"/>
      <c r="AD93" s="1654"/>
      <c r="AE93" s="881"/>
      <c r="AF93" s="892"/>
      <c r="AH93" s="1709"/>
      <c r="AI93" s="1709"/>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74"/>
      <c r="L94" s="1675"/>
      <c r="M94" s="1676"/>
      <c r="N94" s="1190" cm="1">
        <f t="array" ref="N94">IF($E$20="Credera US",V94,SUMPRODUCT(('Rates &amp; Drop Downs INT'!$CG$6:$CG$747=$D94)*('Rates &amp; Drop Downs INT'!$CI$6:$CI$747=$F94)*('Rates &amp; Drop Downs INT'!$CK$6:$CK$747=$K94)*('Rates &amp; Drop Downs INT'!$CM$6:$CM$747)))</f>
        <v>0</v>
      </c>
      <c r="O94" s="1681"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2055"/>
      <c r="Q94" s="2055"/>
      <c r="R94" s="2055"/>
      <c r="S94" s="2056"/>
      <c r="T94" s="1682"/>
      <c r="U94" s="1683"/>
      <c r="V94" s="1222" t="str">
        <f>IFERROR(IF(ISBLANK(K94)," ",_xlfn.XLOOKUP(K94,'Rates &amp; Drop Downs INT'!C:C,'Rates &amp; Drop Downs INT'!J:J)),N94)</f>
        <v xml:space="preserve"> </v>
      </c>
      <c r="W94" s="1203" t="str">
        <f t="shared" si="0"/>
        <v xml:space="preserve"> </v>
      </c>
      <c r="X94" s="1203"/>
      <c r="Y94" s="880" t="s">
        <v>2271</v>
      </c>
      <c r="Z94" s="1187"/>
      <c r="AA94" s="1190"/>
      <c r="AB94" s="1274"/>
      <c r="AC94" s="1653"/>
      <c r="AD94" s="1654"/>
      <c r="AE94" s="881"/>
      <c r="AF94" s="892"/>
      <c r="AH94" s="1709"/>
      <c r="AI94" s="1709"/>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74"/>
      <c r="L95" s="1675"/>
      <c r="M95" s="1676"/>
      <c r="N95" s="1190" cm="1">
        <f t="array" ref="N95">IF($E$20="Credera US",V95,SUMPRODUCT(('Rates &amp; Drop Downs INT'!$CG$6:$CG$747=$D95)*('Rates &amp; Drop Downs INT'!$CI$6:$CI$747=$F95)*('Rates &amp; Drop Downs INT'!$CK$6:$CK$747=$K95)*('Rates &amp; Drop Downs INT'!$CM$6:$CM$747)))</f>
        <v>0</v>
      </c>
      <c r="O95" s="1681"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2055"/>
      <c r="Q95" s="2055"/>
      <c r="R95" s="2055"/>
      <c r="S95" s="2056"/>
      <c r="T95" s="1682"/>
      <c r="U95" s="1683"/>
      <c r="V95" s="1222" t="str">
        <f>IFERROR(IF(ISBLANK(K95)," ",_xlfn.XLOOKUP(K95,'Rates &amp; Drop Downs INT'!C:C,'Rates &amp; Drop Downs INT'!J:J)),N95)</f>
        <v xml:space="preserve"> </v>
      </c>
      <c r="W95" s="1203" t="str">
        <f t="shared" si="0"/>
        <v xml:space="preserve"> </v>
      </c>
      <c r="X95" s="1203"/>
      <c r="Y95" s="880" t="s">
        <v>2271</v>
      </c>
      <c r="Z95" s="1187"/>
      <c r="AA95" s="1190"/>
      <c r="AB95" s="1274"/>
      <c r="AC95" s="1653"/>
      <c r="AD95" s="1654"/>
      <c r="AE95" s="881"/>
      <c r="AF95" s="892"/>
      <c r="AH95" s="1709"/>
      <c r="AI95" s="1709"/>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74"/>
      <c r="L96" s="1675"/>
      <c r="M96" s="1676"/>
      <c r="N96" s="1190" cm="1">
        <f t="array" ref="N96">IF($E$20="Credera US",V96,SUMPRODUCT(('Rates &amp; Drop Downs INT'!$CG$6:$CG$747=$D96)*('Rates &amp; Drop Downs INT'!$CI$6:$CI$747=$F96)*('Rates &amp; Drop Downs INT'!$CK$6:$CK$747=$K96)*('Rates &amp; Drop Downs INT'!$CM$6:$CM$747)))</f>
        <v>0</v>
      </c>
      <c r="O96" s="1681"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2055"/>
      <c r="Q96" s="2055"/>
      <c r="R96" s="2055"/>
      <c r="S96" s="2056"/>
      <c r="T96" s="1682"/>
      <c r="U96" s="1683"/>
      <c r="V96" s="1222" t="str">
        <f>IFERROR(IF(ISBLANK(K96)," ",_xlfn.XLOOKUP(K96,'Rates &amp; Drop Downs INT'!C:C,'Rates &amp; Drop Downs INT'!J:J)),N96)</f>
        <v xml:space="preserve"> </v>
      </c>
      <c r="W96" s="1203" t="str">
        <f t="shared" si="0"/>
        <v xml:space="preserve"> </v>
      </c>
      <c r="X96" s="1203"/>
      <c r="Y96" s="880" t="s">
        <v>2271</v>
      </c>
      <c r="Z96" s="1187"/>
      <c r="AA96" s="1190"/>
      <c r="AB96" s="1274"/>
      <c r="AC96" s="1653"/>
      <c r="AD96" s="1654"/>
      <c r="AE96" s="881"/>
      <c r="AF96" s="892"/>
      <c r="AH96" s="1709"/>
      <c r="AI96" s="1709"/>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74"/>
      <c r="L97" s="1675"/>
      <c r="M97" s="1676"/>
      <c r="N97" s="1190" cm="1">
        <f t="array" ref="N97">IF($E$20="Credera US",V97,SUMPRODUCT(('Rates &amp; Drop Downs INT'!$CG$6:$CG$747=$D97)*('Rates &amp; Drop Downs INT'!$CI$6:$CI$747=$F97)*('Rates &amp; Drop Downs INT'!$CK$6:$CK$747=$K97)*('Rates &amp; Drop Downs INT'!$CM$6:$CM$747)))</f>
        <v>0</v>
      </c>
      <c r="O97" s="1681"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2055"/>
      <c r="Q97" s="2055"/>
      <c r="R97" s="2055"/>
      <c r="S97" s="2056"/>
      <c r="T97" s="1682"/>
      <c r="U97" s="1683"/>
      <c r="V97" s="1222" t="str">
        <f>IFERROR(IF(ISBLANK(K97)," ",_xlfn.XLOOKUP(K97,'Rates &amp; Drop Downs INT'!C:C,'Rates &amp; Drop Downs INT'!J:J)),N97)</f>
        <v xml:space="preserve"> </v>
      </c>
      <c r="W97" s="1203" t="str">
        <f t="shared" si="0"/>
        <v xml:space="preserve"> </v>
      </c>
      <c r="X97" s="1203"/>
      <c r="Y97" s="880" t="s">
        <v>2271</v>
      </c>
      <c r="Z97" s="1187"/>
      <c r="AA97" s="1190"/>
      <c r="AB97" s="1274"/>
      <c r="AC97" s="1653"/>
      <c r="AD97" s="1654"/>
      <c r="AE97" s="881"/>
      <c r="AF97" s="892"/>
      <c r="AH97" s="1709"/>
      <c r="AI97" s="1709"/>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74"/>
      <c r="L98" s="1675"/>
      <c r="M98" s="1676"/>
      <c r="N98" s="1190" cm="1">
        <f t="array" ref="N98">IF($E$20="Credera US",V98,SUMPRODUCT(('Rates &amp; Drop Downs INT'!$CG$6:$CG$747=$D98)*('Rates &amp; Drop Downs INT'!$CI$6:$CI$747=$F98)*('Rates &amp; Drop Downs INT'!$CK$6:$CK$747=$K98)*('Rates &amp; Drop Downs INT'!$CM$6:$CM$747)))</f>
        <v>0</v>
      </c>
      <c r="O98" s="1681"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2055"/>
      <c r="Q98" s="2055"/>
      <c r="R98" s="2055"/>
      <c r="S98" s="2056"/>
      <c r="T98" s="1682"/>
      <c r="U98" s="1683"/>
      <c r="V98" s="1222" t="str">
        <f>IFERROR(IF(ISBLANK(K98)," ",_xlfn.XLOOKUP(K98,'Rates &amp; Drop Downs INT'!C:C,'Rates &amp; Drop Downs INT'!J:J)),N98)</f>
        <v xml:space="preserve"> </v>
      </c>
      <c r="W98" s="1203" t="str">
        <f t="shared" si="0"/>
        <v xml:space="preserve"> </v>
      </c>
      <c r="X98" s="1203"/>
      <c r="Y98" s="880" t="s">
        <v>2271</v>
      </c>
      <c r="Z98" s="1187"/>
      <c r="AA98" s="1190"/>
      <c r="AB98" s="1274"/>
      <c r="AC98" s="1653"/>
      <c r="AD98" s="1654"/>
      <c r="AE98" s="881"/>
      <c r="AF98" s="892"/>
      <c r="AH98" s="1709"/>
      <c r="AI98" s="1709"/>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74"/>
      <c r="L99" s="1675"/>
      <c r="M99" s="1676"/>
      <c r="N99" s="1189" cm="1">
        <f t="array" ref="N99">IF($E$20="Credera US",V99,SUMPRODUCT(('Rates &amp; Drop Downs INT'!$CG$6:$CG$747=$D99)*('Rates &amp; Drop Downs INT'!$CI$6:$CI$747=$F99)*('Rates &amp; Drop Downs INT'!$CK$6:$CK$747=$K99)*('Rates &amp; Drop Downs INT'!$CM$6:$CM$747)))</f>
        <v>0</v>
      </c>
      <c r="O99" s="1681"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2055"/>
      <c r="Q99" s="2055"/>
      <c r="R99" s="2055"/>
      <c r="S99" s="2056"/>
      <c r="T99" s="1679"/>
      <c r="U99" s="1679"/>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53"/>
      <c r="AD99" s="1654"/>
      <c r="AE99" s="881"/>
      <c r="AF99" s="892"/>
      <c r="AH99" s="1709"/>
      <c r="AI99" s="1709"/>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74"/>
      <c r="L100" s="1675"/>
      <c r="M100" s="1676"/>
      <c r="N100" s="1189" cm="1">
        <f t="array" ref="N100">IF($E$20="Credera US",V100,SUMPRODUCT(('Rates &amp; Drop Downs INT'!$CG$6:$CG$747=$D100)*('Rates &amp; Drop Downs INT'!$CI$6:$CI$747=$F100)*('Rates &amp; Drop Downs INT'!$CK$6:$CK$747=$K100)*('Rates &amp; Drop Downs INT'!$CM$6:$CM$747)))</f>
        <v>0</v>
      </c>
      <c r="O100" s="1681"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2055"/>
      <c r="Q100" s="2055"/>
      <c r="R100" s="2055"/>
      <c r="S100" s="2056"/>
      <c r="T100" s="1679"/>
      <c r="U100" s="1679"/>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53"/>
      <c r="AD100" s="1654"/>
      <c r="AE100" s="881"/>
      <c r="AF100" s="892"/>
      <c r="AH100" s="1709"/>
      <c r="AI100" s="1709"/>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74"/>
      <c r="L101" s="1675"/>
      <c r="M101" s="1676"/>
      <c r="N101" s="1189" cm="1">
        <f t="array" ref="N101">IF($E$20="Credera US",V101,SUMPRODUCT(('Rates &amp; Drop Downs INT'!$CG$6:$CG$747=$D101)*('Rates &amp; Drop Downs INT'!$CI$6:$CI$747=$F101)*('Rates &amp; Drop Downs INT'!$CK$6:$CK$747=$K101)*('Rates &amp; Drop Downs INT'!$CM$6:$CM$747)))</f>
        <v>0</v>
      </c>
      <c r="O101" s="1681"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2055"/>
      <c r="Q101" s="2055"/>
      <c r="R101" s="2055"/>
      <c r="S101" s="2056"/>
      <c r="T101" s="1679"/>
      <c r="U101" s="1679"/>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53"/>
      <c r="AD101" s="1654"/>
      <c r="AE101" s="881"/>
      <c r="AF101" s="892"/>
      <c r="AH101" s="1709"/>
      <c r="AI101" s="1709"/>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74"/>
      <c r="L102" s="1675"/>
      <c r="M102" s="1676"/>
      <c r="N102" s="1189" cm="1">
        <f t="array" ref="N102">IF($E$20="Credera US",V102,SUMPRODUCT(('Rates &amp; Drop Downs INT'!$CG$6:$CG$747=$D102)*('Rates &amp; Drop Downs INT'!$CI$6:$CI$747=$F102)*('Rates &amp; Drop Downs INT'!$CK$6:$CK$747=$K102)*('Rates &amp; Drop Downs INT'!$CM$6:$CM$747)))</f>
        <v>0</v>
      </c>
      <c r="O102" s="1681"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2055"/>
      <c r="Q102" s="2055"/>
      <c r="R102" s="2055"/>
      <c r="S102" s="2056"/>
      <c r="T102" s="1679"/>
      <c r="U102" s="1679"/>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53"/>
      <c r="AD102" s="1654"/>
      <c r="AE102" s="881"/>
      <c r="AF102" s="892"/>
      <c r="AH102" s="1709"/>
      <c r="AI102" s="1709"/>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74"/>
      <c r="L103" s="1675"/>
      <c r="M103" s="1676"/>
      <c r="N103" s="1189" cm="1">
        <f t="array" ref="N103">IF($E$20="Credera US",V103,SUMPRODUCT(('Rates &amp; Drop Downs INT'!$CG$6:$CG$747=$D103)*('Rates &amp; Drop Downs INT'!$CI$6:$CI$747=$F103)*('Rates &amp; Drop Downs INT'!$CK$6:$CK$747=$K103)*('Rates &amp; Drop Downs INT'!$CM$6:$CM$747)))</f>
        <v>0</v>
      </c>
      <c r="O103" s="1681"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2055"/>
      <c r="Q103" s="2055"/>
      <c r="R103" s="2055"/>
      <c r="S103" s="2056"/>
      <c r="T103" s="1679"/>
      <c r="U103" s="1679"/>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53"/>
      <c r="AD103" s="1654"/>
      <c r="AE103" s="881"/>
      <c r="AF103" s="892"/>
      <c r="AH103" s="1709"/>
      <c r="AI103" s="1709"/>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74"/>
      <c r="L104" s="1675"/>
      <c r="M104" s="1676"/>
      <c r="N104" s="1189" cm="1">
        <f t="array" ref="N104">IF($E$20="Credera US",V104,SUMPRODUCT(('Rates &amp; Drop Downs INT'!$CG$6:$CG$747=$D104)*('Rates &amp; Drop Downs INT'!$CI$6:$CI$747=$F104)*('Rates &amp; Drop Downs INT'!$CK$6:$CK$747=$K104)*('Rates &amp; Drop Downs INT'!$CM$6:$CM$747)))</f>
        <v>0</v>
      </c>
      <c r="O104" s="1681"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2055"/>
      <c r="Q104" s="2055"/>
      <c r="R104" s="2055"/>
      <c r="S104" s="2056"/>
      <c r="T104" s="1679"/>
      <c r="U104" s="1679"/>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53"/>
      <c r="AD104" s="1654"/>
      <c r="AE104" s="881"/>
      <c r="AF104" s="892"/>
      <c r="AH104" s="1709"/>
      <c r="AI104" s="1709"/>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74"/>
      <c r="L105" s="1675"/>
      <c r="M105" s="1676"/>
      <c r="N105" s="1189" cm="1">
        <f t="array" ref="N105">IF($E$20="Credera US",V105,SUMPRODUCT(('Rates &amp; Drop Downs INT'!$CG$6:$CG$747=$D105)*('Rates &amp; Drop Downs INT'!$CI$6:$CI$747=$F105)*('Rates &amp; Drop Downs INT'!$CK$6:$CK$747=$K105)*('Rates &amp; Drop Downs INT'!$CM$6:$CM$747)))</f>
        <v>0</v>
      </c>
      <c r="O105" s="1681"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2055"/>
      <c r="Q105" s="2055"/>
      <c r="R105" s="2055"/>
      <c r="S105" s="2056"/>
      <c r="T105" s="1679"/>
      <c r="U105" s="1679"/>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53"/>
      <c r="AD105" s="1654"/>
      <c r="AE105" s="881"/>
      <c r="AF105" s="892"/>
      <c r="AH105" s="1709"/>
      <c r="AI105" s="1709"/>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74"/>
      <c r="L106" s="1675"/>
      <c r="M106" s="1676"/>
      <c r="N106" s="1189" cm="1">
        <f t="array" ref="N106">IF($E$20="Credera US",V106,SUMPRODUCT(('Rates &amp; Drop Downs INT'!$CG$6:$CG$747=$D106)*('Rates &amp; Drop Downs INT'!$CI$6:$CI$747=$F106)*('Rates &amp; Drop Downs INT'!$CK$6:$CK$747=$K106)*('Rates &amp; Drop Downs INT'!$CM$6:$CM$747)))</f>
        <v>0</v>
      </c>
      <c r="O106" s="1681"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2055"/>
      <c r="Q106" s="2055"/>
      <c r="R106" s="2055"/>
      <c r="S106" s="2056"/>
      <c r="T106" s="1679"/>
      <c r="U106" s="1679"/>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53"/>
      <c r="AD106" s="1654"/>
      <c r="AE106" s="881"/>
      <c r="AF106" s="892"/>
      <c r="AH106" s="1709"/>
      <c r="AI106" s="1709"/>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74"/>
      <c r="L107" s="1675"/>
      <c r="M107" s="1676"/>
      <c r="N107" s="1189" cm="1">
        <f t="array" ref="N107">IF($E$20="Credera US",V107,SUMPRODUCT(('Rates &amp; Drop Downs INT'!$CG$6:$CG$747=$D107)*('Rates &amp; Drop Downs INT'!$CI$6:$CI$747=$F107)*('Rates &amp; Drop Downs INT'!$CK$6:$CK$747=$K107)*('Rates &amp; Drop Downs INT'!$CM$6:$CM$747)))</f>
        <v>0</v>
      </c>
      <c r="O107" s="1681"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2055"/>
      <c r="Q107" s="2055"/>
      <c r="R107" s="2055"/>
      <c r="S107" s="2056"/>
      <c r="T107" s="1679"/>
      <c r="U107" s="1679"/>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53"/>
      <c r="AD107" s="1654"/>
      <c r="AE107" s="881"/>
      <c r="AF107" s="892"/>
      <c r="AH107" s="1709"/>
      <c r="AI107" s="1709"/>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74"/>
      <c r="L108" s="1675"/>
      <c r="M108" s="1676"/>
      <c r="N108" s="1189" cm="1">
        <f t="array" ref="N108">IF($E$20="Credera US",V108,SUMPRODUCT(('Rates &amp; Drop Downs INT'!$CG$6:$CG$747=$D108)*('Rates &amp; Drop Downs INT'!$CI$6:$CI$747=$F108)*('Rates &amp; Drop Downs INT'!$CK$6:$CK$747=$K108)*('Rates &amp; Drop Downs INT'!$CM$6:$CM$747)))</f>
        <v>0</v>
      </c>
      <c r="O108" s="1681"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2055"/>
      <c r="Q108" s="2055"/>
      <c r="R108" s="2055"/>
      <c r="S108" s="2056"/>
      <c r="T108" s="1679"/>
      <c r="U108" s="1679"/>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53"/>
      <c r="AD108" s="1654"/>
      <c r="AE108" s="881"/>
      <c r="AF108" s="892"/>
      <c r="AH108" s="1709"/>
      <c r="AI108" s="1709"/>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74"/>
      <c r="L109" s="1675"/>
      <c r="M109" s="1676"/>
      <c r="N109" s="1189" cm="1">
        <f t="array" ref="N109">IF($E$20="Credera US",V109,SUMPRODUCT(('Rates &amp; Drop Downs INT'!$CG$6:$CG$747=$D109)*('Rates &amp; Drop Downs INT'!$CI$6:$CI$747=$F109)*('Rates &amp; Drop Downs INT'!$CK$6:$CK$747=$K109)*('Rates &amp; Drop Downs INT'!$CM$6:$CM$747)))</f>
        <v>0</v>
      </c>
      <c r="O109" s="1681"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2055"/>
      <c r="Q109" s="2055"/>
      <c r="R109" s="2055"/>
      <c r="S109" s="2056"/>
      <c r="T109" s="1679"/>
      <c r="U109" s="1679"/>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53"/>
      <c r="AD109" s="1654"/>
      <c r="AE109" s="881"/>
      <c r="AF109" s="892"/>
      <c r="AH109" s="1709"/>
      <c r="AI109" s="1709"/>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74"/>
      <c r="L110" s="1675"/>
      <c r="M110" s="1676"/>
      <c r="N110" s="1189" cm="1">
        <f t="array" ref="N110">IF($E$20="Credera US",V110,SUMPRODUCT(('Rates &amp; Drop Downs INT'!$CG$6:$CG$747=$D110)*('Rates &amp; Drop Downs INT'!$CI$6:$CI$747=$F110)*('Rates &amp; Drop Downs INT'!$CK$6:$CK$747=$K110)*('Rates &amp; Drop Downs INT'!$CM$6:$CM$747)))</f>
        <v>0</v>
      </c>
      <c r="O110" s="1681"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2055"/>
      <c r="Q110" s="2055"/>
      <c r="R110" s="2055"/>
      <c r="S110" s="2056"/>
      <c r="T110" s="1679"/>
      <c r="U110" s="1679"/>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53"/>
      <c r="AD110" s="1654"/>
      <c r="AE110" s="881"/>
      <c r="AF110" s="892"/>
      <c r="AH110" s="1709"/>
      <c r="AI110" s="1709"/>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74"/>
      <c r="L111" s="1675"/>
      <c r="M111" s="1676"/>
      <c r="N111" s="1189" cm="1">
        <f t="array" ref="N111">IF($E$20="Credera US",V111,SUMPRODUCT(('Rates &amp; Drop Downs INT'!$CG$6:$CG$747=$D111)*('Rates &amp; Drop Downs INT'!$CI$6:$CI$747=$F111)*('Rates &amp; Drop Downs INT'!$CK$6:$CK$747=$K111)*('Rates &amp; Drop Downs INT'!$CM$6:$CM$747)))</f>
        <v>0</v>
      </c>
      <c r="O111" s="1681"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2055"/>
      <c r="Q111" s="2055"/>
      <c r="R111" s="2055"/>
      <c r="S111" s="2056"/>
      <c r="T111" s="1679"/>
      <c r="U111" s="1679"/>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53"/>
      <c r="AD111" s="1654"/>
      <c r="AE111" s="881"/>
      <c r="AF111" s="892"/>
      <c r="AH111" s="1709"/>
      <c r="AI111" s="1709"/>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74"/>
      <c r="L112" s="1675"/>
      <c r="M112" s="1676"/>
      <c r="N112" s="1189" cm="1">
        <f t="array" ref="N112">IF($E$20="Credera US",V112,SUMPRODUCT(('Rates &amp; Drop Downs INT'!$CG$6:$CG$747=$D112)*('Rates &amp; Drop Downs INT'!$CI$6:$CI$747=$F112)*('Rates &amp; Drop Downs INT'!$CK$6:$CK$747=$K112)*('Rates &amp; Drop Downs INT'!$CM$6:$CM$747)))</f>
        <v>0</v>
      </c>
      <c r="O112" s="1681"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2055"/>
      <c r="Q112" s="2055"/>
      <c r="R112" s="2055"/>
      <c r="S112" s="2056"/>
      <c r="T112" s="1679"/>
      <c r="U112" s="1679"/>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53"/>
      <c r="AD112" s="1654"/>
      <c r="AE112" s="881"/>
      <c r="AF112" s="892"/>
      <c r="AH112" s="1709"/>
      <c r="AI112" s="1709"/>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74"/>
      <c r="L113" s="1675"/>
      <c r="M113" s="1676"/>
      <c r="N113" s="1189" cm="1">
        <f t="array" ref="N113">IF($E$20="Credera US",V113,SUMPRODUCT(('Rates &amp; Drop Downs INT'!$CG$6:$CG$747=$D113)*('Rates &amp; Drop Downs INT'!$CI$6:$CI$747=$F113)*('Rates &amp; Drop Downs INT'!$CK$6:$CK$747=$K113)*('Rates &amp; Drop Downs INT'!$CM$6:$CM$747)))</f>
        <v>0</v>
      </c>
      <c r="O113" s="1681"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2055"/>
      <c r="Q113" s="2055"/>
      <c r="R113" s="2055"/>
      <c r="S113" s="2056"/>
      <c r="T113" s="1679"/>
      <c r="U113" s="1679"/>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53"/>
      <c r="AD113" s="1654"/>
      <c r="AE113" s="881"/>
      <c r="AF113" s="892"/>
      <c r="AH113" s="1709"/>
      <c r="AI113" s="1709"/>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74"/>
      <c r="L114" s="1675"/>
      <c r="M114" s="1676"/>
      <c r="N114" s="1189" cm="1">
        <f t="array" ref="N114">IF($E$20="Credera US",V114,SUMPRODUCT(('Rates &amp; Drop Downs INT'!$CG$6:$CG$747=$D114)*('Rates &amp; Drop Downs INT'!$CI$6:$CI$747=$F114)*('Rates &amp; Drop Downs INT'!$CK$6:$CK$747=$K114)*('Rates &amp; Drop Downs INT'!$CM$6:$CM$747)))</f>
        <v>0</v>
      </c>
      <c r="O114" s="1681"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2055"/>
      <c r="Q114" s="2055"/>
      <c r="R114" s="2055"/>
      <c r="S114" s="2056"/>
      <c r="T114" s="1679"/>
      <c r="U114" s="1679"/>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53"/>
      <c r="AD114" s="1654"/>
      <c r="AE114" s="881"/>
      <c r="AF114" s="892"/>
      <c r="AH114" s="1709"/>
      <c r="AI114" s="1709"/>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74"/>
      <c r="L115" s="1675"/>
      <c r="M115" s="1676"/>
      <c r="N115" s="1189" cm="1">
        <f t="array" ref="N115">IF($E$20="Credera US",V115,SUMPRODUCT(('Rates &amp; Drop Downs INT'!$CG$6:$CG$747=$D115)*('Rates &amp; Drop Downs INT'!$CI$6:$CI$747=$F115)*('Rates &amp; Drop Downs INT'!$CK$6:$CK$747=$K115)*('Rates &amp; Drop Downs INT'!$CM$6:$CM$747)))</f>
        <v>0</v>
      </c>
      <c r="O115" s="1681"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2055"/>
      <c r="Q115" s="2055"/>
      <c r="R115" s="2055"/>
      <c r="S115" s="2056"/>
      <c r="T115" s="1679"/>
      <c r="U115" s="1679"/>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53"/>
      <c r="AD115" s="1654"/>
      <c r="AE115" s="881"/>
      <c r="AF115" s="892"/>
      <c r="AH115" s="1709"/>
      <c r="AI115" s="1709"/>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74"/>
      <c r="L116" s="1675"/>
      <c r="M116" s="1676"/>
      <c r="N116" s="1189" cm="1">
        <f t="array" ref="N116">IF($E$20="Credera US",V116,SUMPRODUCT(('Rates &amp; Drop Downs INT'!$CG$6:$CG$747=$D116)*('Rates &amp; Drop Downs INT'!$CI$6:$CI$747=$F116)*('Rates &amp; Drop Downs INT'!$CK$6:$CK$747=$K116)*('Rates &amp; Drop Downs INT'!$CM$6:$CM$747)))</f>
        <v>0</v>
      </c>
      <c r="O116" s="1681"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2055"/>
      <c r="Q116" s="2055"/>
      <c r="R116" s="2055"/>
      <c r="S116" s="2056"/>
      <c r="T116" s="1679"/>
      <c r="U116" s="1679"/>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53"/>
      <c r="AD116" s="1654"/>
      <c r="AE116" s="881"/>
      <c r="AF116" s="892"/>
      <c r="AH116" s="1709"/>
      <c r="AI116" s="1709"/>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74"/>
      <c r="L117" s="1675"/>
      <c r="M117" s="1676"/>
      <c r="N117" s="1189" cm="1">
        <f t="array" ref="N117">IF($E$20="Credera US",V117,SUMPRODUCT(('Rates &amp; Drop Downs INT'!$CG$6:$CG$747=$D117)*('Rates &amp; Drop Downs INT'!$CI$6:$CI$747=$F117)*('Rates &amp; Drop Downs INT'!$CK$6:$CK$747=$K117)*('Rates &amp; Drop Downs INT'!$CM$6:$CM$747)))</f>
        <v>0</v>
      </c>
      <c r="O117" s="1681"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2055"/>
      <c r="Q117" s="2055"/>
      <c r="R117" s="2055"/>
      <c r="S117" s="2056"/>
      <c r="T117" s="1679"/>
      <c r="U117" s="1679"/>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53"/>
      <c r="AD117" s="1654"/>
      <c r="AE117" s="881"/>
      <c r="AF117" s="892"/>
      <c r="AH117" s="1709"/>
      <c r="AI117" s="1709"/>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74"/>
      <c r="L118" s="1675"/>
      <c r="M118" s="1676"/>
      <c r="N118" s="1189" cm="1">
        <f t="array" ref="N118">IF($E$20="Credera US",V118,SUMPRODUCT(('Rates &amp; Drop Downs INT'!$CG$6:$CG$747=$D118)*('Rates &amp; Drop Downs INT'!$CI$6:$CI$747=$F118)*('Rates &amp; Drop Downs INT'!$CK$6:$CK$747=$K118)*('Rates &amp; Drop Downs INT'!$CM$6:$CM$747)))</f>
        <v>0</v>
      </c>
      <c r="O118" s="1681"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2055"/>
      <c r="Q118" s="2055"/>
      <c r="R118" s="2055"/>
      <c r="S118" s="2056"/>
      <c r="T118" s="1679"/>
      <c r="U118" s="1679"/>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53"/>
      <c r="AD118" s="1654"/>
      <c r="AE118" s="881"/>
      <c r="AF118" s="892"/>
      <c r="AH118" s="1709"/>
      <c r="AI118" s="1709"/>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74"/>
      <c r="L119" s="1675"/>
      <c r="M119" s="1676"/>
      <c r="N119" s="1189" cm="1">
        <f t="array" ref="N119">IF($E$20="Credera US",V119,SUMPRODUCT(('Rates &amp; Drop Downs INT'!$CG$6:$CG$747=$D119)*('Rates &amp; Drop Downs INT'!$CI$6:$CI$747=$F119)*('Rates &amp; Drop Downs INT'!$CK$6:$CK$747=$K119)*('Rates &amp; Drop Downs INT'!$CM$6:$CM$747)))</f>
        <v>0</v>
      </c>
      <c r="O119" s="1681"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2055"/>
      <c r="Q119" s="2055"/>
      <c r="R119" s="2055"/>
      <c r="S119" s="2056"/>
      <c r="T119" s="1679"/>
      <c r="U119" s="1679"/>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53"/>
      <c r="AD119" s="1654"/>
      <c r="AE119" s="881"/>
      <c r="AF119" s="892"/>
      <c r="AH119" s="1709"/>
      <c r="AI119" s="1709"/>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74"/>
      <c r="L120" s="1675"/>
      <c r="M120" s="1676"/>
      <c r="N120" s="1189" cm="1">
        <f t="array" ref="N120">IF($E$20="Credera US",V120,SUMPRODUCT(('Rates &amp; Drop Downs INT'!$CG$6:$CG$747=$D120)*('Rates &amp; Drop Downs INT'!$CI$6:$CI$747=$F120)*('Rates &amp; Drop Downs INT'!$CK$6:$CK$747=$K120)*('Rates &amp; Drop Downs INT'!$CM$6:$CM$747)))</f>
        <v>0</v>
      </c>
      <c r="O120" s="1681"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2055"/>
      <c r="Q120" s="2055"/>
      <c r="R120" s="2055"/>
      <c r="S120" s="2056"/>
      <c r="T120" s="1679"/>
      <c r="U120" s="1679"/>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53"/>
      <c r="AD120" s="1654"/>
      <c r="AE120" s="881"/>
      <c r="AF120" s="892"/>
      <c r="AH120" s="1709"/>
      <c r="AI120" s="1709"/>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74"/>
      <c r="L121" s="1675"/>
      <c r="M121" s="1676"/>
      <c r="N121" s="1189" cm="1">
        <f t="array" ref="N121">IF($E$20="Credera US",V121,SUMPRODUCT(('Rates &amp; Drop Downs INT'!$CG$6:$CG$747=$D121)*('Rates &amp; Drop Downs INT'!$CI$6:$CI$747=$F121)*('Rates &amp; Drop Downs INT'!$CK$6:$CK$747=$K121)*('Rates &amp; Drop Downs INT'!$CM$6:$CM$747)))</f>
        <v>0</v>
      </c>
      <c r="O121" s="1681"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2055"/>
      <c r="Q121" s="2055"/>
      <c r="R121" s="2055"/>
      <c r="S121" s="2056"/>
      <c r="T121" s="1679"/>
      <c r="U121" s="1679"/>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53"/>
      <c r="AD121" s="1654"/>
      <c r="AE121" s="881"/>
      <c r="AF121" s="892"/>
      <c r="AH121" s="1709"/>
      <c r="AI121" s="1709"/>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74"/>
      <c r="L122" s="1675"/>
      <c r="M122" s="1676"/>
      <c r="N122" s="1189" cm="1">
        <f t="array" ref="N122">IF($E$20="Credera US",V122,SUMPRODUCT(('Rates &amp; Drop Downs INT'!$CG$6:$CG$747=$D122)*('Rates &amp; Drop Downs INT'!$CI$6:$CI$747=$F122)*('Rates &amp; Drop Downs INT'!$CK$6:$CK$747=$K122)*('Rates &amp; Drop Downs INT'!$CM$6:$CM$747)))</f>
        <v>0</v>
      </c>
      <c r="O122" s="1681"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2055"/>
      <c r="Q122" s="2055"/>
      <c r="R122" s="2055"/>
      <c r="S122" s="2056"/>
      <c r="T122" s="1679"/>
      <c r="U122" s="1679"/>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53"/>
      <c r="AD122" s="1654"/>
      <c r="AE122" s="881"/>
      <c r="AF122" s="892"/>
      <c r="AH122" s="1709"/>
      <c r="AI122" s="1709"/>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74"/>
      <c r="L123" s="1675"/>
      <c r="M123" s="1676"/>
      <c r="N123" s="1189" cm="1">
        <f t="array" ref="N123">IF($E$20="Credera US",V123,SUMPRODUCT(('Rates &amp; Drop Downs INT'!$CG$6:$CG$747=$D123)*('Rates &amp; Drop Downs INT'!$CI$6:$CI$747=$F123)*('Rates &amp; Drop Downs INT'!$CK$6:$CK$747=$K123)*('Rates &amp; Drop Downs INT'!$CM$6:$CM$747)))</f>
        <v>0</v>
      </c>
      <c r="O123" s="1681"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2055"/>
      <c r="Q123" s="2055"/>
      <c r="R123" s="2055"/>
      <c r="S123" s="2056"/>
      <c r="T123" s="1679"/>
      <c r="U123" s="1679"/>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53"/>
      <c r="AD123" s="1654"/>
      <c r="AE123" s="881"/>
      <c r="AF123" s="892"/>
      <c r="AH123" s="1709"/>
      <c r="AI123" s="1709"/>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74"/>
      <c r="L124" s="1675"/>
      <c r="M124" s="1676"/>
      <c r="N124" s="1189" cm="1">
        <f t="array" ref="N124">IF($E$20="Credera US",V124,SUMPRODUCT(('Rates &amp; Drop Downs INT'!$CG$6:$CG$747=$D124)*('Rates &amp; Drop Downs INT'!$CI$6:$CI$747=$F124)*('Rates &amp; Drop Downs INT'!$CK$6:$CK$747=$K124)*('Rates &amp; Drop Downs INT'!$CM$6:$CM$747)))</f>
        <v>0</v>
      </c>
      <c r="O124" s="1681"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2055"/>
      <c r="Q124" s="2055"/>
      <c r="R124" s="2055"/>
      <c r="S124" s="2056"/>
      <c r="T124" s="1679"/>
      <c r="U124" s="1679"/>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53"/>
      <c r="AD124" s="1654"/>
      <c r="AE124" s="881"/>
      <c r="AF124" s="892"/>
      <c r="AH124" s="1709"/>
      <c r="AI124" s="1709"/>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74"/>
      <c r="L125" s="1675"/>
      <c r="M125" s="1676"/>
      <c r="N125" s="1189" cm="1">
        <f t="array" ref="N125">IF($E$20="Credera US",V125,SUMPRODUCT(('Rates &amp; Drop Downs INT'!$CG$6:$CG$747=$D125)*('Rates &amp; Drop Downs INT'!$CI$6:$CI$747=$F125)*('Rates &amp; Drop Downs INT'!$CK$6:$CK$747=$K125)*('Rates &amp; Drop Downs INT'!$CM$6:$CM$747)))</f>
        <v>0</v>
      </c>
      <c r="O125" s="1681"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2055"/>
      <c r="Q125" s="2055"/>
      <c r="R125" s="2055"/>
      <c r="S125" s="2056"/>
      <c r="T125" s="1679"/>
      <c r="U125" s="1679"/>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53"/>
      <c r="AD125" s="1654"/>
      <c r="AE125" s="881"/>
      <c r="AF125" s="892"/>
      <c r="AH125" s="1709"/>
      <c r="AI125" s="1709"/>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74"/>
      <c r="L126" s="1675"/>
      <c r="M126" s="1676"/>
      <c r="N126" s="1189" cm="1">
        <f t="array" ref="N126">IF($E$20="Credera US",V126,SUMPRODUCT(('Rates &amp; Drop Downs INT'!$CG$6:$CG$747=$D126)*('Rates &amp; Drop Downs INT'!$CI$6:$CI$747=$F126)*('Rates &amp; Drop Downs INT'!$CK$6:$CK$747=$K126)*('Rates &amp; Drop Downs INT'!$CM$6:$CM$747)))</f>
        <v>0</v>
      </c>
      <c r="O126" s="1681"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2055"/>
      <c r="Q126" s="2055"/>
      <c r="R126" s="2055"/>
      <c r="S126" s="2056"/>
      <c r="T126" s="1679"/>
      <c r="U126" s="1679"/>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53"/>
      <c r="AD126" s="1654"/>
      <c r="AE126" s="881"/>
      <c r="AF126" s="892"/>
      <c r="AH126" s="1709"/>
      <c r="AI126" s="1709"/>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74"/>
      <c r="L127" s="1675"/>
      <c r="M127" s="1676"/>
      <c r="N127" s="1189" cm="1">
        <f t="array" ref="N127">IF($E$20="Credera US",V127,SUMPRODUCT(('Rates &amp; Drop Downs INT'!$CG$6:$CG$747=$D127)*('Rates &amp; Drop Downs INT'!$CI$6:$CI$747=$F127)*('Rates &amp; Drop Downs INT'!$CK$6:$CK$747=$K127)*('Rates &amp; Drop Downs INT'!$CM$6:$CM$747)))</f>
        <v>0</v>
      </c>
      <c r="O127" s="1681"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2055"/>
      <c r="Q127" s="2055"/>
      <c r="R127" s="2055"/>
      <c r="S127" s="2056"/>
      <c r="T127" s="1679"/>
      <c r="U127" s="1679"/>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53"/>
      <c r="AD127" s="1654"/>
      <c r="AE127" s="881"/>
      <c r="AF127" s="892"/>
      <c r="AH127" s="1709"/>
      <c r="AI127" s="1709"/>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74"/>
      <c r="L128" s="1675"/>
      <c r="M128" s="1676"/>
      <c r="N128" s="1189" cm="1">
        <f t="array" ref="N128">IF($E$20="Credera US",V128,SUMPRODUCT(('Rates &amp; Drop Downs INT'!$CG$6:$CG$747=$D128)*('Rates &amp; Drop Downs INT'!$CI$6:$CI$747=$F128)*('Rates &amp; Drop Downs INT'!$CK$6:$CK$747=$K128)*('Rates &amp; Drop Downs INT'!$CM$6:$CM$747)))</f>
        <v>0</v>
      </c>
      <c r="O128" s="1681"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2055"/>
      <c r="Q128" s="2055"/>
      <c r="R128" s="2055"/>
      <c r="S128" s="2056"/>
      <c r="T128" s="1679"/>
      <c r="U128" s="1679"/>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53"/>
      <c r="AD128" s="1654"/>
      <c r="AE128" s="881"/>
      <c r="AF128" s="892"/>
      <c r="AH128" s="1709"/>
      <c r="AI128" s="1709"/>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74"/>
      <c r="L129" s="1675"/>
      <c r="M129" s="1676"/>
      <c r="N129" s="1189" cm="1">
        <f t="array" ref="N129">IF($E$20="Credera US",V129,SUMPRODUCT(('Rates &amp; Drop Downs INT'!$CG$6:$CG$747=$D129)*('Rates &amp; Drop Downs INT'!$CI$6:$CI$747=$F129)*('Rates &amp; Drop Downs INT'!$CK$6:$CK$747=$K129)*('Rates &amp; Drop Downs INT'!$CM$6:$CM$747)))</f>
        <v>0</v>
      </c>
      <c r="O129" s="1681"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2055"/>
      <c r="Q129" s="2055"/>
      <c r="R129" s="2055"/>
      <c r="S129" s="2056"/>
      <c r="T129" s="1679"/>
      <c r="U129" s="1679"/>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53"/>
      <c r="AD129" s="1654"/>
      <c r="AE129" s="881"/>
      <c r="AF129" s="892"/>
      <c r="AH129" s="1709"/>
      <c r="AI129" s="1709"/>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74"/>
      <c r="L130" s="1675"/>
      <c r="M130" s="1676"/>
      <c r="N130" s="1189" cm="1">
        <f t="array" ref="N130">IF($E$20="Credera US",V130,SUMPRODUCT(('Rates &amp; Drop Downs INT'!$CG$6:$CG$747=$D130)*('Rates &amp; Drop Downs INT'!$CI$6:$CI$747=$F130)*('Rates &amp; Drop Downs INT'!$CK$6:$CK$747=$K130)*('Rates &amp; Drop Downs INT'!$CM$6:$CM$747)))</f>
        <v>0</v>
      </c>
      <c r="O130" s="1681"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2055"/>
      <c r="Q130" s="2055"/>
      <c r="R130" s="2055"/>
      <c r="S130" s="2056"/>
      <c r="T130" s="1679"/>
      <c r="U130" s="1679"/>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53"/>
      <c r="AD130" s="1654"/>
      <c r="AE130" s="881"/>
      <c r="AF130" s="892"/>
      <c r="AH130" s="1709"/>
      <c r="AI130" s="1709"/>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74"/>
      <c r="L131" s="1675"/>
      <c r="M131" s="1676"/>
      <c r="N131" s="1189" cm="1">
        <f t="array" ref="N131">IF($E$20="Credera US",V131,SUMPRODUCT(('Rates &amp; Drop Downs INT'!$CG$6:$CG$747=$D131)*('Rates &amp; Drop Downs INT'!$CI$6:$CI$747=$F131)*('Rates &amp; Drop Downs INT'!$CK$6:$CK$747=$K131)*('Rates &amp; Drop Downs INT'!$CM$6:$CM$747)))</f>
        <v>0</v>
      </c>
      <c r="O131" s="1681"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2055"/>
      <c r="Q131" s="2055"/>
      <c r="R131" s="2055"/>
      <c r="S131" s="2056"/>
      <c r="T131" s="1679"/>
      <c r="U131" s="1679"/>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53"/>
      <c r="AD131" s="1654"/>
      <c r="AE131" s="881"/>
      <c r="AF131" s="892"/>
      <c r="AH131" s="1709"/>
      <c r="AI131" s="1709"/>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74"/>
      <c r="L132" s="1675"/>
      <c r="M132" s="1676"/>
      <c r="N132" s="1189" cm="1">
        <f t="array" ref="N132">IF($E$20="Credera US",V132,SUMPRODUCT(('Rates &amp; Drop Downs INT'!$CG$6:$CG$747=$D132)*('Rates &amp; Drop Downs INT'!$CI$6:$CI$747=$F132)*('Rates &amp; Drop Downs INT'!$CK$6:$CK$747=$K132)*('Rates &amp; Drop Downs INT'!$CM$6:$CM$747)))</f>
        <v>0</v>
      </c>
      <c r="O132" s="1681"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2055"/>
      <c r="Q132" s="2055"/>
      <c r="R132" s="2055"/>
      <c r="S132" s="2056"/>
      <c r="T132" s="1679"/>
      <c r="U132" s="1679"/>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53"/>
      <c r="AD132" s="1654"/>
      <c r="AE132" s="881"/>
      <c r="AF132" s="892"/>
      <c r="AH132" s="1709"/>
      <c r="AI132" s="1709"/>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74"/>
      <c r="L133" s="1675"/>
      <c r="M133" s="1676"/>
      <c r="N133" s="1189" cm="1">
        <f t="array" ref="N133">IF($E$20="Credera US",V133,SUMPRODUCT(('Rates &amp; Drop Downs INT'!$CG$6:$CG$747=$D133)*('Rates &amp; Drop Downs INT'!$CI$6:$CI$747=$F133)*('Rates &amp; Drop Downs INT'!$CK$6:$CK$747=$K133)*('Rates &amp; Drop Downs INT'!$CM$6:$CM$747)))</f>
        <v>0</v>
      </c>
      <c r="O133" s="1681"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2055"/>
      <c r="Q133" s="2055"/>
      <c r="R133" s="2055"/>
      <c r="S133" s="2056"/>
      <c r="T133" s="1679"/>
      <c r="U133" s="1679"/>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53"/>
      <c r="AD133" s="1654"/>
      <c r="AE133" s="881"/>
      <c r="AF133" s="892"/>
      <c r="AH133" s="1709"/>
      <c r="AI133" s="1709"/>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74"/>
      <c r="L134" s="1675"/>
      <c r="M134" s="1676"/>
      <c r="N134" s="1189" cm="1">
        <f t="array" ref="N134">IF($E$20="Credera US",V134,SUMPRODUCT(('Rates &amp; Drop Downs INT'!$CG$6:$CG$747=$D134)*('Rates &amp; Drop Downs INT'!$CI$6:$CI$747=$F134)*('Rates &amp; Drop Downs INT'!$CK$6:$CK$747=$K134)*('Rates &amp; Drop Downs INT'!$CM$6:$CM$747)))</f>
        <v>0</v>
      </c>
      <c r="O134" s="1681"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2055"/>
      <c r="Q134" s="2055"/>
      <c r="R134" s="2055"/>
      <c r="S134" s="2056"/>
      <c r="T134" s="1679"/>
      <c r="U134" s="1679"/>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53"/>
      <c r="AD134" s="1654"/>
      <c r="AE134" s="881"/>
      <c r="AF134" s="892"/>
      <c r="AH134" s="1709"/>
      <c r="AI134" s="1709"/>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74"/>
      <c r="L135" s="1675"/>
      <c r="M135" s="1676"/>
      <c r="N135" s="1189" cm="1">
        <f t="array" ref="N135">IF($E$20="Credera US",V135,SUMPRODUCT(('Rates &amp; Drop Downs INT'!$CG$6:$CG$747=$D135)*('Rates &amp; Drop Downs INT'!$CI$6:$CI$747=$F135)*('Rates &amp; Drop Downs INT'!$CK$6:$CK$747=$K135)*('Rates &amp; Drop Downs INT'!$CM$6:$CM$747)))</f>
        <v>0</v>
      </c>
      <c r="O135" s="1681"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2055"/>
      <c r="Q135" s="2055"/>
      <c r="R135" s="2055"/>
      <c r="S135" s="2056"/>
      <c r="T135" s="1679"/>
      <c r="U135" s="1679"/>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53"/>
      <c r="AD135" s="1654"/>
      <c r="AE135" s="881"/>
      <c r="AF135" s="892"/>
      <c r="AH135" s="1709"/>
      <c r="AI135" s="1709"/>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74"/>
      <c r="L136" s="1675"/>
      <c r="M136" s="1676"/>
      <c r="N136" s="1189" cm="1">
        <f t="array" ref="N136">IF($E$20="Credera US",V136,SUMPRODUCT(('Rates &amp; Drop Downs INT'!$CG$6:$CG$747=$D136)*('Rates &amp; Drop Downs INT'!$CI$6:$CI$747=$F136)*('Rates &amp; Drop Downs INT'!$CK$6:$CK$747=$K136)*('Rates &amp; Drop Downs INT'!$CM$6:$CM$747)))</f>
        <v>0</v>
      </c>
      <c r="O136" s="1681"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2055"/>
      <c r="Q136" s="2055"/>
      <c r="R136" s="2055"/>
      <c r="S136" s="2056"/>
      <c r="T136" s="1679"/>
      <c r="U136" s="1679"/>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53"/>
      <c r="AD136" s="1654"/>
      <c r="AE136" s="881"/>
      <c r="AF136" s="892"/>
      <c r="AH136" s="1709"/>
      <c r="AI136" s="1709"/>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74"/>
      <c r="L137" s="1675"/>
      <c r="M137" s="1676"/>
      <c r="N137" s="1189" cm="1">
        <f t="array" ref="N137">IF($E$20="Credera US",V137,SUMPRODUCT(('Rates &amp; Drop Downs INT'!$CG$6:$CG$747=$D137)*('Rates &amp; Drop Downs INT'!$CI$6:$CI$747=$F137)*('Rates &amp; Drop Downs INT'!$CK$6:$CK$747=$K137)*('Rates &amp; Drop Downs INT'!$CM$6:$CM$747)))</f>
        <v>0</v>
      </c>
      <c r="O137" s="1681"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2055"/>
      <c r="Q137" s="2055"/>
      <c r="R137" s="2055"/>
      <c r="S137" s="2056"/>
      <c r="T137" s="1679"/>
      <c r="U137" s="1679"/>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53"/>
      <c r="AD137" s="1654"/>
      <c r="AE137" s="881"/>
      <c r="AF137" s="892"/>
      <c r="AH137" s="1709"/>
      <c r="AI137" s="1709"/>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74"/>
      <c r="L138" s="1675"/>
      <c r="M138" s="1676"/>
      <c r="N138" s="1189" cm="1">
        <f t="array" ref="N138">IF($E$20="Credera US",V138,SUMPRODUCT(('Rates &amp; Drop Downs INT'!$CG$6:$CG$747=$D138)*('Rates &amp; Drop Downs INT'!$CI$6:$CI$747=$F138)*('Rates &amp; Drop Downs INT'!$CK$6:$CK$747=$K138)*('Rates &amp; Drop Downs INT'!$CM$6:$CM$747)))</f>
        <v>0</v>
      </c>
      <c r="O138" s="1681"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2055"/>
      <c r="Q138" s="2055"/>
      <c r="R138" s="2055"/>
      <c r="S138" s="2056"/>
      <c r="T138" s="1679"/>
      <c r="U138" s="1679"/>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53"/>
      <c r="AD138" s="1654"/>
      <c r="AE138" s="881"/>
      <c r="AF138" s="892"/>
      <c r="AH138" s="1709"/>
      <c r="AI138" s="1709"/>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74"/>
      <c r="L139" s="1675"/>
      <c r="M139" s="1676"/>
      <c r="N139" s="1189" cm="1">
        <f t="array" ref="N139">IF($E$20="Credera US",V139,SUMPRODUCT(('Rates &amp; Drop Downs INT'!$CG$6:$CG$747=$D139)*('Rates &amp; Drop Downs INT'!$CI$6:$CI$747=$F139)*('Rates &amp; Drop Downs INT'!$CK$6:$CK$747=$K139)*('Rates &amp; Drop Downs INT'!$CM$6:$CM$747)))</f>
        <v>0</v>
      </c>
      <c r="O139" s="1681"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2055"/>
      <c r="Q139" s="2055"/>
      <c r="R139" s="2055"/>
      <c r="S139" s="2056"/>
      <c r="T139" s="1679"/>
      <c r="U139" s="1679"/>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53"/>
      <c r="AD139" s="1654"/>
      <c r="AE139" s="881"/>
      <c r="AF139" s="892"/>
      <c r="AH139" s="1709"/>
      <c r="AI139" s="1709"/>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74"/>
      <c r="L140" s="1675"/>
      <c r="M140" s="1676"/>
      <c r="N140" s="1189" cm="1">
        <f t="array" ref="N140">IF($E$20="Credera US",V140,SUMPRODUCT(('Rates &amp; Drop Downs INT'!$CG$6:$CG$747=$D140)*('Rates &amp; Drop Downs INT'!$CI$6:$CI$747=$F140)*('Rates &amp; Drop Downs INT'!$CK$6:$CK$747=$K140)*('Rates &amp; Drop Downs INT'!$CM$6:$CM$747)))</f>
        <v>0</v>
      </c>
      <c r="O140" s="1681"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2055"/>
      <c r="Q140" s="2055"/>
      <c r="R140" s="2055"/>
      <c r="S140" s="2056"/>
      <c r="T140" s="1679"/>
      <c r="U140" s="1679"/>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53"/>
      <c r="AD140" s="1654"/>
      <c r="AE140" s="881"/>
      <c r="AF140" s="892"/>
      <c r="AH140" s="1709"/>
      <c r="AI140" s="1709"/>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74"/>
      <c r="L141" s="1675"/>
      <c r="M141" s="1676"/>
      <c r="N141" s="1189" cm="1">
        <f t="array" ref="N141">IF($E$20="Credera US",V141,SUMPRODUCT(('Rates &amp; Drop Downs INT'!$CG$6:$CG$747=$D141)*('Rates &amp; Drop Downs INT'!$CI$6:$CI$747=$F141)*('Rates &amp; Drop Downs INT'!$CK$6:$CK$747=$K141)*('Rates &amp; Drop Downs INT'!$CM$6:$CM$747)))</f>
        <v>0</v>
      </c>
      <c r="O141" s="1681"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2055"/>
      <c r="Q141" s="2055"/>
      <c r="R141" s="2055"/>
      <c r="S141" s="2056"/>
      <c r="T141" s="1679"/>
      <c r="U141" s="1679"/>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53"/>
      <c r="AD141" s="1654"/>
      <c r="AE141" s="881"/>
      <c r="AF141" s="892"/>
      <c r="AH141" s="1709"/>
      <c r="AI141" s="1709"/>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74"/>
      <c r="L142" s="1675"/>
      <c r="M142" s="1676"/>
      <c r="N142" s="1189" cm="1">
        <f t="array" ref="N142">IF($E$20="Credera US",V142,SUMPRODUCT(('Rates &amp; Drop Downs INT'!$CG$6:$CG$747=$D142)*('Rates &amp; Drop Downs INT'!$CI$6:$CI$747=$F142)*('Rates &amp; Drop Downs INT'!$CK$6:$CK$747=$K142)*('Rates &amp; Drop Downs INT'!$CM$6:$CM$747)))</f>
        <v>0</v>
      </c>
      <c r="O142" s="1681"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2055"/>
      <c r="Q142" s="2055"/>
      <c r="R142" s="2055"/>
      <c r="S142" s="2056"/>
      <c r="T142" s="1679"/>
      <c r="U142" s="1679"/>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53"/>
      <c r="AD142" s="1654"/>
      <c r="AE142" s="881"/>
      <c r="AF142" s="892"/>
      <c r="AH142" s="1709"/>
      <c r="AI142" s="1709"/>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74"/>
      <c r="L143" s="1675"/>
      <c r="M143" s="1676"/>
      <c r="N143" s="1189" cm="1">
        <f t="array" ref="N143">IF($E$20="Credera US",V143,SUMPRODUCT(('Rates &amp; Drop Downs INT'!$CG$6:$CG$747=$D143)*('Rates &amp; Drop Downs INT'!$CI$6:$CI$747=$F143)*('Rates &amp; Drop Downs INT'!$CK$6:$CK$747=$K143)*('Rates &amp; Drop Downs INT'!$CM$6:$CM$747)))</f>
        <v>0</v>
      </c>
      <c r="O143" s="1681"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2055"/>
      <c r="Q143" s="2055"/>
      <c r="R143" s="2055"/>
      <c r="S143" s="2056"/>
      <c r="T143" s="1679"/>
      <c r="U143" s="1679"/>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53"/>
      <c r="AD143" s="1654"/>
      <c r="AE143" s="881"/>
      <c r="AF143" s="892"/>
      <c r="AH143" s="1709"/>
      <c r="AI143" s="1709"/>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74"/>
      <c r="L144" s="1675"/>
      <c r="M144" s="1676"/>
      <c r="N144" s="1189" cm="1">
        <f t="array" ref="N144">IF($E$20="Credera US",V144,SUMPRODUCT(('Rates &amp; Drop Downs INT'!$CG$6:$CG$747=$D144)*('Rates &amp; Drop Downs INT'!$CI$6:$CI$747=$F144)*('Rates &amp; Drop Downs INT'!$CK$6:$CK$747=$K144)*('Rates &amp; Drop Downs INT'!$CM$6:$CM$747)))</f>
        <v>0</v>
      </c>
      <c r="O144" s="1681"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2055"/>
      <c r="Q144" s="2055"/>
      <c r="R144" s="2055"/>
      <c r="S144" s="2056"/>
      <c r="T144" s="1679"/>
      <c r="U144" s="1679"/>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53"/>
      <c r="AD144" s="1654"/>
      <c r="AE144" s="881"/>
      <c r="AF144" s="892"/>
      <c r="AH144" s="1709"/>
      <c r="AI144" s="1709"/>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74"/>
      <c r="L145" s="1675"/>
      <c r="M145" s="1676"/>
      <c r="N145" s="1189" cm="1">
        <f t="array" ref="N145">IF($E$20="Credera US",V145,SUMPRODUCT(('Rates &amp; Drop Downs INT'!$CG$6:$CG$747=$D145)*('Rates &amp; Drop Downs INT'!$CI$6:$CI$747=$F145)*('Rates &amp; Drop Downs INT'!$CK$6:$CK$747=$K145)*('Rates &amp; Drop Downs INT'!$CM$6:$CM$747)))</f>
        <v>0</v>
      </c>
      <c r="O145" s="1681"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2055"/>
      <c r="Q145" s="2055"/>
      <c r="R145" s="2055"/>
      <c r="S145" s="2056"/>
      <c r="T145" s="1679"/>
      <c r="U145" s="1679"/>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53"/>
      <c r="AD145" s="1654"/>
      <c r="AE145" s="881"/>
      <c r="AF145" s="892"/>
      <c r="AH145" s="1709"/>
      <c r="AI145" s="1709"/>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74"/>
      <c r="L146" s="1675"/>
      <c r="M146" s="1676"/>
      <c r="N146" s="1189" cm="1">
        <f t="array" ref="N146">IF($E$20="Credera US",V146,SUMPRODUCT(('Rates &amp; Drop Downs INT'!$CG$6:$CG$747=$D146)*('Rates &amp; Drop Downs INT'!$CI$6:$CI$747=$F146)*('Rates &amp; Drop Downs INT'!$CK$6:$CK$747=$K146)*('Rates &amp; Drop Downs INT'!$CM$6:$CM$747)))</f>
        <v>0</v>
      </c>
      <c r="O146" s="1681"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2055"/>
      <c r="Q146" s="2055"/>
      <c r="R146" s="2055"/>
      <c r="S146" s="2056"/>
      <c r="T146" s="1679"/>
      <c r="U146" s="1679"/>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53"/>
      <c r="AD146" s="1654"/>
      <c r="AE146" s="881"/>
      <c r="AF146" s="892"/>
      <c r="AH146" s="1709"/>
      <c r="AI146" s="1709"/>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74"/>
      <c r="L147" s="1675"/>
      <c r="M147" s="1676"/>
      <c r="N147" s="1194" cm="1">
        <f t="array" ref="N147">IF($E$20="Credera US",V147,SUMPRODUCT(('Rates &amp; Drop Downs INT'!$CG$6:$CG$747=$D147)*('Rates &amp; Drop Downs INT'!$CI$6:$CI$747=$F147)*('Rates &amp; Drop Downs INT'!$CK$6:$CK$747=$K147)*('Rates &amp; Drop Downs INT'!$CM$6:$CM$747)))</f>
        <v>0</v>
      </c>
      <c r="O147" s="1716"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2057"/>
      <c r="Q147" s="2057"/>
      <c r="R147" s="2057"/>
      <c r="S147" s="2058"/>
      <c r="T147" s="1680"/>
      <c r="U147" s="1680"/>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55"/>
      <c r="AD147" s="1656"/>
      <c r="AE147" s="894"/>
      <c r="AF147" s="895"/>
      <c r="AH147" s="1709"/>
      <c r="AI147" s="1709"/>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14" t="s">
        <v>3234</v>
      </c>
      <c r="D151" s="1714"/>
      <c r="E151" s="1714"/>
      <c r="F151" s="1714"/>
      <c r="G151" s="1714"/>
      <c r="H151" s="1715"/>
      <c r="I151" s="1714"/>
      <c r="J151" s="1714"/>
      <c r="K151" s="1714"/>
      <c r="L151" s="1714"/>
      <c r="M151" s="1714"/>
      <c r="N151" s="1714"/>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52" t="s">
        <v>3582</v>
      </c>
      <c r="D152" s="1652"/>
      <c r="E152" s="1652"/>
      <c r="F152" s="1652"/>
      <c r="G152" s="1652"/>
      <c r="H152" s="1652"/>
      <c r="I152" s="1652"/>
      <c r="J152" s="1652"/>
      <c r="K152" s="1652"/>
      <c r="L152" s="1652"/>
      <c r="M152" s="1652"/>
      <c r="N152" s="1652"/>
      <c r="O152" s="1652"/>
      <c r="P152" s="1652"/>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77" t="s">
        <v>2318</v>
      </c>
      <c r="D154" s="1677"/>
      <c r="E154" s="1677"/>
      <c r="F154" s="1677"/>
      <c r="G154" s="1677"/>
      <c r="H154" s="1677"/>
      <c r="I154" s="1677"/>
      <c r="J154" s="1677"/>
      <c r="K154" s="1677"/>
      <c r="L154" s="1677"/>
      <c r="M154" s="1677"/>
      <c r="N154" s="1677"/>
      <c r="Y154" s="838"/>
      <c r="Z154" s="838"/>
      <c r="AA154" s="839"/>
      <c r="AB154" s="839"/>
      <c r="AC154" s="839"/>
      <c r="AD154" s="839"/>
      <c r="AE154" s="839"/>
      <c r="AI154" s="837"/>
      <c r="AJ154" s="822"/>
      <c r="AK154" s="822"/>
      <c r="AL154" s="822"/>
      <c r="AM154" s="822"/>
      <c r="CM154" s="840"/>
    </row>
    <row r="155" spans="1:97" ht="22" customHeight="1" x14ac:dyDescent="0.3">
      <c r="C155" s="1677" t="s">
        <v>2319</v>
      </c>
      <c r="D155" s="1677"/>
      <c r="E155" s="1677"/>
      <c r="F155" s="1677"/>
      <c r="G155" s="1677"/>
      <c r="H155" s="1677"/>
      <c r="I155" s="1677"/>
      <c r="J155" s="1677"/>
      <c r="K155" s="1677"/>
      <c r="L155" s="1677"/>
      <c r="M155" s="1677"/>
      <c r="N155" s="1677"/>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23" t="s">
        <v>3679</v>
      </c>
      <c r="D160" s="1723"/>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17" t="s">
        <v>176</v>
      </c>
      <c r="D161" s="1717"/>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17" t="s">
        <v>257</v>
      </c>
      <c r="D162" s="1717"/>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17" t="s">
        <v>269</v>
      </c>
      <c r="D163" s="1717"/>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17" t="s">
        <v>283</v>
      </c>
      <c r="D164" s="1717"/>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17" t="s">
        <v>294</v>
      </c>
      <c r="D165" s="1717"/>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Developer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Data Analyst</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Multi-Solution Architect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10"/>
      <c r="BY186" s="1710"/>
      <c r="BZ186" s="1710"/>
      <c r="CA186" s="1710"/>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10"/>
      <c r="BY187" s="1710"/>
      <c r="BZ187" s="1710"/>
      <c r="CA187" s="1710"/>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72" t="s">
        <v>3172</v>
      </c>
      <c r="D272" s="1673"/>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714" t="s">
        <v>3247</v>
      </c>
      <c r="D283" s="1714"/>
      <c r="E283" s="1714"/>
      <c r="F283" s="1714"/>
      <c r="G283" s="1714"/>
      <c r="H283" s="1715"/>
      <c r="I283" s="1714"/>
      <c r="J283" s="1714"/>
      <c r="K283" s="1714"/>
      <c r="L283" s="1714"/>
      <c r="M283" s="1714"/>
      <c r="N283" s="1714"/>
      <c r="O283" s="1469"/>
      <c r="P283" s="1469"/>
    </row>
    <row r="284" spans="1:66" x14ac:dyDescent="0.3">
      <c r="C284" s="1678" t="s">
        <v>2323</v>
      </c>
      <c r="D284" s="1678"/>
      <c r="E284" s="1678"/>
      <c r="F284" s="1678"/>
      <c r="G284" s="1678"/>
      <c r="H284" s="1678"/>
      <c r="I284" s="1678"/>
      <c r="J284" s="1678"/>
      <c r="K284" s="1678"/>
      <c r="L284" s="1678"/>
      <c r="M284" s="1678"/>
      <c r="N284" s="1678"/>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677" t="s">
        <v>3248</v>
      </c>
      <c r="D286" s="1677"/>
      <c r="E286" s="1677"/>
      <c r="F286" s="1677"/>
      <c r="G286" s="1677"/>
      <c r="H286" s="1677"/>
      <c r="I286" s="1677"/>
      <c r="J286" s="1677"/>
      <c r="K286" s="1677"/>
      <c r="L286" s="1677"/>
      <c r="M286" s="1677"/>
      <c r="N286" s="1677"/>
      <c r="O286" s="1677"/>
      <c r="P286" s="1677"/>
    </row>
    <row r="287" spans="1:66" ht="18" customHeight="1" x14ac:dyDescent="0.3">
      <c r="C287" s="1652" t="s">
        <v>3249</v>
      </c>
      <c r="D287" s="1652"/>
      <c r="E287" s="1652"/>
      <c r="F287" s="1652"/>
      <c r="G287" s="1652"/>
      <c r="H287" s="1652"/>
      <c r="I287" s="1652"/>
      <c r="J287" s="1652"/>
      <c r="K287" s="1652"/>
      <c r="L287" s="1652"/>
      <c r="M287" s="1652"/>
      <c r="N287" s="1652"/>
      <c r="O287" s="1652"/>
      <c r="P287" s="1652"/>
    </row>
    <row r="288" spans="1:66" ht="25" customHeight="1" x14ac:dyDescent="0.3">
      <c r="B288" s="555"/>
      <c r="C288" s="907" t="s">
        <v>189</v>
      </c>
      <c r="D288" s="1582">
        <f>IFERROR('3. Financial Inputs'!B52,"")</f>
        <v>0.54919972164231035</v>
      </c>
      <c r="E288" s="520"/>
      <c r="F288" s="521"/>
      <c r="G288" s="1211"/>
      <c r="H288" s="1211"/>
      <c r="J288" s="1211"/>
    </row>
    <row r="289" spans="2:16" ht="26" customHeight="1" x14ac:dyDescent="0.3">
      <c r="B289" s="555"/>
      <c r="C289" s="907" t="s">
        <v>2197</v>
      </c>
      <c r="D289" s="908">
        <f>SUM(D291:D390)</f>
        <v>862200</v>
      </c>
      <c r="E289" s="908"/>
      <c r="F289" s="908">
        <f>SUM(F291:F390)</f>
        <v>388680</v>
      </c>
      <c r="G289" s="398"/>
      <c r="H289" s="398"/>
      <c r="K289" s="714"/>
      <c r="M289" s="1349">
        <f>SUM(M291:M346)</f>
        <v>8520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Developer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76800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4" customHeight="1" x14ac:dyDescent="0.3">
      <c r="C292" s="1352" t="str">
        <f t="shared" si="86"/>
        <v>Data Analyst</v>
      </c>
      <c r="D292" s="918">
        <f>IFERROR(IF($L292="",(IF($E$26="Select Type","Select Margin Class",IF($E$26="Standard Rates",I292*M292,IF($E$26="Client Custom Rates",K292*M292)))),L292*M292),"")</f>
        <v>33000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10800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4" customHeight="1" x14ac:dyDescent="0.3">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Multi-Solution Architect</v>
      </c>
      <c r="D297" s="918">
        <f t="shared" si="89"/>
        <v>150000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75000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125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51" t="s">
        <v>3577</v>
      </c>
      <c r="D395" s="1651"/>
      <c r="E395" s="1651"/>
      <c r="F395" s="1651"/>
      <c r="G395" s="1651"/>
      <c r="H395" s="1651"/>
      <c r="I395" s="1651"/>
      <c r="J395" s="1651"/>
      <c r="K395" s="1651"/>
      <c r="L395" s="1651"/>
      <c r="M395" s="1651"/>
      <c r="N395" s="1651"/>
      <c r="O395" s="627"/>
    </row>
    <row r="396" spans="2:37" x14ac:dyDescent="0.3">
      <c r="C396" s="1651" t="s">
        <v>3224</v>
      </c>
      <c r="D396" s="1651"/>
      <c r="E396" s="1651"/>
      <c r="F396" s="1651"/>
      <c r="G396" s="1651"/>
      <c r="H396" s="1651"/>
      <c r="I396" s="1651"/>
      <c r="J396" s="1651"/>
      <c r="K396" s="1651"/>
      <c r="L396" s="1651"/>
      <c r="M396" s="1651"/>
      <c r="N396" s="1651"/>
      <c r="O396" s="1264"/>
    </row>
    <row r="397" spans="2:37" x14ac:dyDescent="0.3">
      <c r="C397" s="1651" t="s">
        <v>3398</v>
      </c>
      <c r="D397" s="1651"/>
      <c r="E397" s="1651"/>
      <c r="F397" s="1651"/>
      <c r="G397" s="1651"/>
      <c r="H397" s="1651"/>
      <c r="I397" s="1651"/>
      <c r="J397" s="1651"/>
      <c r="K397" s="1651"/>
      <c r="L397" s="1651"/>
      <c r="M397" s="1651"/>
      <c r="N397" s="1651"/>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669" t="s">
        <v>101</v>
      </c>
      <c r="E399" s="1670"/>
      <c r="F399" s="1671"/>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O51:S51"/>
    <mergeCell ref="O52:S5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F32:I32"/>
    <mergeCell ref="K47:M47"/>
    <mergeCell ref="C37:N37"/>
    <mergeCell ref="C38:N38"/>
    <mergeCell ref="O47:S47"/>
    <mergeCell ref="O48:S48"/>
    <mergeCell ref="O49:S49"/>
    <mergeCell ref="O50:S50"/>
    <mergeCell ref="C17:F17"/>
    <mergeCell ref="K48:M48"/>
    <mergeCell ref="K49:M49"/>
    <mergeCell ref="K50:M50"/>
    <mergeCell ref="C35:O35"/>
    <mergeCell ref="K51:M51"/>
    <mergeCell ref="C42:N42"/>
    <mergeCell ref="C43:N43"/>
    <mergeCell ref="C44:N44"/>
    <mergeCell ref="T75:U75"/>
    <mergeCell ref="T76:U76"/>
    <mergeCell ref="T77:U77"/>
    <mergeCell ref="T78:U78"/>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T79:U79"/>
    <mergeCell ref="T80:U80"/>
    <mergeCell ref="T81:U81"/>
    <mergeCell ref="T82:U82"/>
    <mergeCell ref="T83:U83"/>
    <mergeCell ref="T84:U84"/>
    <mergeCell ref="T85:U85"/>
    <mergeCell ref="T86:U86"/>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6">
      <formula>$AQ$1="Canada"</formula>
    </cfRule>
    <cfRule type="expression" dxfId="109" priority="167">
      <formula>$AQ$1="India"</formula>
    </cfRule>
    <cfRule type="expression" dxfId="108" priority="168">
      <formula>$AQ$1="US"</formula>
    </cfRule>
    <cfRule type="expression" dxfId="107" priority="169">
      <formula>$AQ$1="UK"</formula>
    </cfRule>
  </conditionalFormatting>
  <conditionalFormatting sqref="CI160:CI161">
    <cfRule type="expression" dxfId="106" priority="146">
      <formula>$AQ$1="Canada"</formula>
    </cfRule>
    <cfRule type="expression" dxfId="105" priority="147">
      <formula>$AQ$1="India"</formula>
    </cfRule>
    <cfRule type="expression" dxfId="104" priority="148">
      <formula>$AQ$1="US"</formula>
    </cfRule>
    <cfRule type="expression" dxfId="103" priority="149">
      <formula>$AQ$1="UK"</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topLeftCell="BI29" zoomScale="80" zoomScaleNormal="80" workbookViewId="0">
      <selection activeCell="BT35" sqref="BT35"/>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Test Digital Project</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Select CR Type</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5" thickBot="1" x14ac:dyDescent="0.3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5" customHeight="1" x14ac:dyDescent="0.3">
      <c r="A9" s="157"/>
      <c r="B9" s="158"/>
      <c r="C9" s="158"/>
      <c r="D9" s="158"/>
      <c r="E9" s="158"/>
      <c r="F9" s="158"/>
      <c r="G9" s="2002" t="s">
        <v>2173</v>
      </c>
      <c r="H9" s="2003"/>
      <c r="I9" s="2003"/>
      <c r="J9" s="2003"/>
      <c r="K9" s="2004"/>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38" thickBot="1" x14ac:dyDescent="0.4">
      <c r="A10" s="157"/>
      <c r="B10" s="158"/>
      <c r="C10" s="158"/>
      <c r="D10" s="158"/>
      <c r="E10" s="158"/>
      <c r="F10" s="158"/>
      <c r="G10" s="2005"/>
      <c r="H10" s="2006"/>
      <c r="I10" s="2006"/>
      <c r="J10" s="2006"/>
      <c r="K10" s="2007"/>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7.5" thickBot="1" x14ac:dyDescent="0.35">
      <c r="A11" s="157"/>
      <c r="B11" s="158"/>
      <c r="C11" s="158"/>
      <c r="D11" s="158"/>
      <c r="E11" s="158"/>
      <c r="F11" s="158"/>
      <c r="G11" s="2008"/>
      <c r="H11" s="2009"/>
      <c r="I11" s="2009"/>
      <c r="J11" s="2009"/>
      <c r="K11" s="2010"/>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2011" t="s">
        <v>1966</v>
      </c>
    </row>
    <row r="12" spans="1:94" s="161" customFormat="1" ht="27.5" thickBot="1" x14ac:dyDescent="0.4">
      <c r="A12" s="157"/>
      <c r="B12" s="158"/>
      <c r="C12" s="158"/>
      <c r="D12" s="158"/>
      <c r="E12" s="158"/>
      <c r="F12" s="158"/>
      <c r="G12" s="2013" t="s">
        <v>1967</v>
      </c>
      <c r="H12" s="2014"/>
      <c r="I12" s="2014"/>
      <c r="J12" s="2014"/>
      <c r="K12" s="2015"/>
      <c r="L12" s="2019" t="s">
        <v>1</v>
      </c>
      <c r="M12" s="2020"/>
      <c r="N12" s="166" t="s">
        <v>1968</v>
      </c>
      <c r="O12" s="2023" t="s">
        <v>1969</v>
      </c>
      <c r="P12" s="2023"/>
      <c r="Q12" s="1987"/>
      <c r="R12" s="1986" t="s">
        <v>1970</v>
      </c>
      <c r="S12" s="1987"/>
      <c r="T12" s="1986" t="s">
        <v>1971</v>
      </c>
      <c r="U12" s="1987"/>
      <c r="V12" s="1986" t="s">
        <v>1972</v>
      </c>
      <c r="W12" s="2023"/>
      <c r="X12" s="2023"/>
      <c r="Y12" s="2023"/>
      <c r="Z12" s="2023"/>
      <c r="AA12" s="2023"/>
      <c r="AB12" s="2023"/>
      <c r="AC12" s="2023"/>
      <c r="AD12" s="2023"/>
      <c r="AE12" s="2023"/>
      <c r="AF12" s="2023"/>
      <c r="AG12" s="2023"/>
      <c r="AH12" s="2023"/>
      <c r="AI12" s="2023"/>
      <c r="AJ12" s="2023"/>
      <c r="AK12" s="2023"/>
      <c r="AL12" s="2023"/>
      <c r="AM12" s="2023"/>
      <c r="AN12" s="2023"/>
      <c r="AO12" s="2023"/>
      <c r="AP12" s="2023"/>
      <c r="AQ12" s="2023"/>
      <c r="AR12" s="2023"/>
      <c r="AS12" s="1987"/>
      <c r="AT12" s="1986" t="s">
        <v>1973</v>
      </c>
      <c r="AU12" s="1987"/>
      <c r="AV12" s="1986" t="s">
        <v>1974</v>
      </c>
      <c r="AW12" s="1987"/>
      <c r="AX12" s="1986" t="s">
        <v>1975</v>
      </c>
      <c r="AY12" s="1987"/>
      <c r="AZ12" s="1986" t="s">
        <v>1976</v>
      </c>
      <c r="BA12" s="1987"/>
      <c r="BB12" s="1986" t="s">
        <v>1977</v>
      </c>
      <c r="BC12" s="1987"/>
      <c r="BD12" s="1986" t="s">
        <v>1973</v>
      </c>
      <c r="BE12" s="1987"/>
      <c r="BF12" s="1986" t="s">
        <v>1974</v>
      </c>
      <c r="BG12" s="1987"/>
      <c r="BH12" s="1986" t="s">
        <v>1975</v>
      </c>
      <c r="BI12" s="1987"/>
      <c r="BJ12" s="1986" t="s">
        <v>1976</v>
      </c>
      <c r="BK12" s="1987"/>
      <c r="BL12" s="1986" t="s">
        <v>1977</v>
      </c>
      <c r="BM12" s="1987"/>
      <c r="BN12" s="161" t="s">
        <v>2201</v>
      </c>
      <c r="BO12" s="161" t="s">
        <v>2200</v>
      </c>
      <c r="BR12" s="2012"/>
      <c r="BS12" s="1988" t="s">
        <v>2175</v>
      </c>
      <c r="BT12" s="1989"/>
      <c r="BU12" s="167"/>
    </row>
    <row r="13" spans="1:94" s="161" customFormat="1" ht="27.5" thickBot="1" x14ac:dyDescent="0.4">
      <c r="A13" s="157"/>
      <c r="B13" s="158"/>
      <c r="C13" s="158"/>
      <c r="D13" s="158"/>
      <c r="E13" s="158"/>
      <c r="F13" s="158"/>
      <c r="G13" s="2016"/>
      <c r="H13" s="2017"/>
      <c r="I13" s="2017"/>
      <c r="J13" s="2017"/>
      <c r="K13" s="2018"/>
      <c r="L13" s="2021"/>
      <c r="M13" s="2022"/>
      <c r="N13" s="168" t="s">
        <v>1978</v>
      </c>
      <c r="O13" s="1992" t="s">
        <v>1979</v>
      </c>
      <c r="P13" s="1992"/>
      <c r="Q13" s="1993"/>
      <c r="R13" s="1994" t="s">
        <v>1980</v>
      </c>
      <c r="S13" s="1995"/>
      <c r="T13" s="1994" t="s">
        <v>1980</v>
      </c>
      <c r="U13" s="1995"/>
      <c r="V13" s="1994" t="s">
        <v>1980</v>
      </c>
      <c r="W13" s="1996"/>
      <c r="X13" s="1996"/>
      <c r="Y13" s="1996"/>
      <c r="Z13" s="1996"/>
      <c r="AA13" s="1996"/>
      <c r="AB13" s="1996"/>
      <c r="AC13" s="1996"/>
      <c r="AD13" s="1996"/>
      <c r="AE13" s="1996"/>
      <c r="AF13" s="1996"/>
      <c r="AG13" s="1996"/>
      <c r="AH13" s="1996"/>
      <c r="AI13" s="1996"/>
      <c r="AJ13" s="1996"/>
      <c r="AK13" s="1996"/>
      <c r="AL13" s="1996"/>
      <c r="AM13" s="1996"/>
      <c r="AN13" s="1996"/>
      <c r="AO13" s="1996"/>
      <c r="AP13" s="1996"/>
      <c r="AQ13" s="1996"/>
      <c r="AR13" s="1996"/>
      <c r="AS13" s="1995"/>
      <c r="AT13" s="1994" t="s">
        <v>1980</v>
      </c>
      <c r="AU13" s="1995"/>
      <c r="AV13" s="1994" t="s">
        <v>1980</v>
      </c>
      <c r="AW13" s="1995"/>
      <c r="AX13" s="1994" t="s">
        <v>1980</v>
      </c>
      <c r="AY13" s="1995"/>
      <c r="AZ13" s="1997" t="s">
        <v>1981</v>
      </c>
      <c r="BA13" s="1998"/>
      <c r="BB13" s="1997" t="s">
        <v>1982</v>
      </c>
      <c r="BC13" s="1998"/>
      <c r="BD13" s="1994" t="s">
        <v>1980</v>
      </c>
      <c r="BE13" s="1995"/>
      <c r="BF13" s="1994" t="s">
        <v>1980</v>
      </c>
      <c r="BG13" s="1995"/>
      <c r="BH13" s="1994" t="s">
        <v>1980</v>
      </c>
      <c r="BI13" s="1995"/>
      <c r="BJ13" s="1997" t="s">
        <v>1981</v>
      </c>
      <c r="BK13" s="1998"/>
      <c r="BL13" s="1997" t="s">
        <v>1982</v>
      </c>
      <c r="BM13" s="1998"/>
      <c r="BN13" s="1999" t="s">
        <v>1983</v>
      </c>
      <c r="BO13" s="2000"/>
      <c r="BP13" s="2000"/>
      <c r="BQ13" s="2000"/>
      <c r="BR13" s="2001"/>
      <c r="BS13" s="1990"/>
      <c r="BT13" s="1991"/>
      <c r="BU13" s="167"/>
    </row>
    <row r="14" spans="1:94" s="191" customFormat="1" ht="35.5" thickBot="1" x14ac:dyDescent="0.4">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20.5" thickBot="1" x14ac:dyDescent="0.4">
      <c r="A15" s="192">
        <v>1</v>
      </c>
      <c r="B15" s="193">
        <v>3</v>
      </c>
      <c r="C15" s="193" t="str">
        <f t="shared" ref="C15:C32" si="46">G15&amp;"__"&amp;H15</f>
        <v>.NET__DOTNET</v>
      </c>
      <c r="D15" s="193" t="str">
        <f t="shared" ref="D15:D32" si="47">G15&amp;"__"&amp;H15&amp;"__"&amp;I15</f>
        <v>.NET__DOTNET__Sitecore</v>
      </c>
      <c r="E15" s="193">
        <v>21</v>
      </c>
      <c r="F15" s="193">
        <v>8</v>
      </c>
      <c r="G15" s="194" t="str">
        <f>'2. Roles &amp; Pricing'!D48</f>
        <v>.NET</v>
      </c>
      <c r="H15" s="194" t="str">
        <f>'2. Roles &amp; Pricing'!E48</f>
        <v>DOTNET</v>
      </c>
      <c r="I15" s="194" t="str">
        <f>'2. Roles &amp; Pricing'!F48</f>
        <v>Sitecore</v>
      </c>
      <c r="J15" s="196" t="str">
        <f>'2. Roles &amp; Pricing'!K48</f>
        <v>Developer</v>
      </c>
      <c r="K15" s="197" t="str">
        <f>'2. Roles &amp; Pricing'!W48</f>
        <v>Onshore</v>
      </c>
      <c r="L15" s="195"/>
      <c r="M15" s="196"/>
      <c r="N15" s="707">
        <f>IFERROR('2. Roles &amp; Pricing'!F170/40,"")</f>
        <v>0.8</v>
      </c>
      <c r="O15" s="707">
        <f>IFERROR('2. Roles &amp; Pricing'!I170/40,"")</f>
        <v>0.8</v>
      </c>
      <c r="P15" s="707">
        <f>IFERROR('2. Roles &amp; Pricing'!K170/40,"")</f>
        <v>0.8</v>
      </c>
      <c r="Q15" s="707">
        <f>IFERROR('2. Roles &amp; Pricing'!L170/40,"")</f>
        <v>0.8</v>
      </c>
      <c r="R15" s="707">
        <f>IFERROR('2. Roles &amp; Pricing'!M170/40,"")</f>
        <v>0.8</v>
      </c>
      <c r="S15" s="2053">
        <f>IFERROR('2. Roles &amp; Pricing'!N170/40,"")</f>
        <v>0.8</v>
      </c>
      <c r="T15" s="707">
        <f>IFERROR('2. Roles &amp; Pricing'!O170/40,"")</f>
        <v>0.8</v>
      </c>
      <c r="U15" s="709">
        <f>IFERROR('2. Roles &amp; Pricing'!P170/40,"")</f>
        <v>0.8</v>
      </c>
      <c r="V15" s="709">
        <f>IFERROR('2. Roles &amp; Pricing'!Q170/40,"")</f>
        <v>0.8</v>
      </c>
      <c r="W15" s="709">
        <f>IFERROR('2. Roles &amp; Pricing'!R170/40,"")</f>
        <v>0.8</v>
      </c>
      <c r="X15" s="708">
        <f>IFERROR('2. Roles &amp; Pricing'!S170/40,"")</f>
        <v>0.8</v>
      </c>
      <c r="Y15" s="708">
        <f>IFERROR('2. Roles &amp; Pricing'!T170/40,"")</f>
        <v>0.8</v>
      </c>
      <c r="Z15" s="708">
        <f>IFERROR('2. Roles &amp; Pricing'!U170/40,"")</f>
        <v>0.8</v>
      </c>
      <c r="AA15" s="708">
        <f>IFERROR('2. Roles &amp; Pricing'!Y170/40,"")</f>
        <v>0.8</v>
      </c>
      <c r="AB15" s="708">
        <f>IFERROR('2. Roles &amp; Pricing'!Z170/40,"")</f>
        <v>0.8</v>
      </c>
      <c r="AC15" s="708">
        <f>IFERROR('2. Roles &amp; Pricing'!AA170/40,"")</f>
        <v>0.8</v>
      </c>
      <c r="AD15" s="708">
        <f>IFERROR('2. Roles &amp; Pricing'!AB170/40,"")</f>
        <v>0.8</v>
      </c>
      <c r="AE15" s="708">
        <f>IFERROR('2. Roles &amp; Pricing'!AG170/40,"")</f>
        <v>0.8</v>
      </c>
      <c r="AF15" s="708">
        <f>IFERROR('2. Roles &amp; Pricing'!AH170/40,"")</f>
        <v>0.8</v>
      </c>
      <c r="AG15" s="708">
        <f>IFERROR('2. Roles &amp; Pricing'!AI170/40,"")</f>
        <v>0.8</v>
      </c>
      <c r="AH15" s="708">
        <f>IFERROR('2. Roles &amp; Pricing'!AJ170/40,"")</f>
        <v>0.8</v>
      </c>
      <c r="AI15" s="708">
        <f>IFERROR('2. Roles &amp; Pricing'!AK170/40,"")</f>
        <v>0.8</v>
      </c>
      <c r="AJ15" s="708">
        <f>IFERROR('2. Roles &amp; Pricing'!AL170/40,"")</f>
        <v>0.8</v>
      </c>
      <c r="AK15" s="708">
        <f>IFERROR('2. Roles &amp; Pricing'!AM170/40,"")</f>
        <v>0.8</v>
      </c>
      <c r="AL15" s="708">
        <f>IFERROR('2. Roles &amp; Pricing'!AN170/40,"")</f>
        <v>0.8</v>
      </c>
      <c r="AM15" s="708">
        <f>IFERROR('2. Roles &amp; Pricing'!AO170/40,"")</f>
        <v>0.8</v>
      </c>
      <c r="AN15" s="708">
        <f>IFERROR('2. Roles &amp; Pricing'!AP170/40,"")</f>
        <v>0.8</v>
      </c>
      <c r="AO15" s="708">
        <f>IFERROR('2. Roles &amp; Pricing'!AQ170/40,"")</f>
        <v>0.8</v>
      </c>
      <c r="AP15" s="708">
        <f>IFERROR('2. Roles &amp; Pricing'!AR170/40,"")</f>
        <v>0.8</v>
      </c>
      <c r="AQ15" s="708">
        <f>IFERROR('2. Roles &amp; Pricing'!AS170/40,"")</f>
        <v>0.8</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24.000000000000011</v>
      </c>
      <c r="BO15" s="198">
        <f>+BN15*5</f>
        <v>120.00000000000006</v>
      </c>
      <c r="BP15" s="199">
        <f>'2. Roles &amp; Pricing'!D291</f>
        <v>153600</v>
      </c>
      <c r="BQ15" s="199">
        <f>'2. Roles &amp; Pricing'!F291</f>
        <v>76800</v>
      </c>
      <c r="BR15" s="623">
        <f>'2. Roles &amp; Pricing'!F291</f>
        <v>76800</v>
      </c>
      <c r="BS15" s="200">
        <f>'2. Roles &amp; Pricing'!I291</f>
        <v>160</v>
      </c>
      <c r="BT15" s="201">
        <f>BP15</f>
        <v>153600</v>
      </c>
      <c r="BU15" s="202">
        <f t="shared" ref="BU15:BU32" si="48">BO15*8</f>
        <v>960.00000000000045</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0.5" thickBot="1" x14ac:dyDescent="0.4">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0.5</v>
      </c>
      <c r="O16" s="707">
        <f>IFERROR('2. Roles &amp; Pricing'!I171/40,"")</f>
        <v>0.5</v>
      </c>
      <c r="P16" s="707">
        <f>IFERROR('2. Roles &amp; Pricing'!K171/40,"")</f>
        <v>0.5</v>
      </c>
      <c r="Q16" s="707">
        <f>IFERROR('2. Roles &amp; Pricing'!L171/40,"")</f>
        <v>0.5</v>
      </c>
      <c r="R16" s="707">
        <f>IFERROR('2. Roles &amp; Pricing'!M171/40,"")</f>
        <v>0.5</v>
      </c>
      <c r="S16" s="707">
        <f>IFERROR('2. Roles &amp; Pricing'!N171/40,"")</f>
        <v>0.5</v>
      </c>
      <c r="T16" s="707">
        <f>IFERROR('2. Roles &amp; Pricing'!O171/40,"")</f>
        <v>0.5</v>
      </c>
      <c r="U16" s="709">
        <f>IFERROR('2. Roles &amp; Pricing'!P171/40,"")</f>
        <v>0.5</v>
      </c>
      <c r="V16" s="709">
        <f>IFERROR('2. Roles &amp; Pricing'!Q171/40,"")</f>
        <v>0.5</v>
      </c>
      <c r="W16" s="709">
        <f>IFERROR('2. Roles &amp; Pricing'!R171/40,"")</f>
        <v>0.5</v>
      </c>
      <c r="X16" s="708">
        <f>IFERROR('2. Roles &amp; Pricing'!S171/40,"")</f>
        <v>0.5</v>
      </c>
      <c r="Y16" s="708">
        <f>IFERROR('2. Roles &amp; Pricing'!T171/40,"")</f>
        <v>0.5</v>
      </c>
      <c r="Z16" s="708">
        <f>IFERROR('2. Roles &amp; Pricing'!U171/40,"")</f>
        <v>0.5</v>
      </c>
      <c r="AA16" s="708">
        <f>IFERROR('2. Roles &amp; Pricing'!Y171/40,"")</f>
        <v>0.5</v>
      </c>
      <c r="AB16" s="708">
        <f>IFERROR('2. Roles &amp; Pricing'!Z171/40,"")</f>
        <v>0.5</v>
      </c>
      <c r="AC16" s="708">
        <f>IFERROR('2. Roles &amp; Pricing'!AA171/40,"")</f>
        <v>0.5</v>
      </c>
      <c r="AD16" s="708">
        <f>IFERROR('2. Roles &amp; Pricing'!AB171/40,"")</f>
        <v>0.5</v>
      </c>
      <c r="AE16" s="708">
        <f>IFERROR('2. Roles &amp; Pricing'!AG171/40,"")</f>
        <v>0.5</v>
      </c>
      <c r="AF16" s="708">
        <f>IFERROR('2. Roles &amp; Pricing'!AH171/40,"")</f>
        <v>0.5</v>
      </c>
      <c r="AG16" s="708">
        <f>IFERROR('2. Roles &amp; Pricing'!AI171/40,"")</f>
        <v>0.5</v>
      </c>
      <c r="AH16" s="708">
        <f>IFERROR('2. Roles &amp; Pricing'!AJ171/40,"")</f>
        <v>0.5</v>
      </c>
      <c r="AI16" s="708">
        <f>IFERROR('2. Roles &amp; Pricing'!AK171/40,"")</f>
        <v>0.5</v>
      </c>
      <c r="AJ16" s="708">
        <f>IFERROR('2. Roles &amp; Pricing'!AL171/40,"")</f>
        <v>0.5</v>
      </c>
      <c r="AK16" s="708">
        <f>IFERROR('2. Roles &amp; Pricing'!AM171/40,"")</f>
        <v>0.5</v>
      </c>
      <c r="AL16" s="708">
        <f>IFERROR('2. Roles &amp; Pricing'!AN171/40,"")</f>
        <v>0.5</v>
      </c>
      <c r="AM16" s="708">
        <f>IFERROR('2. Roles &amp; Pricing'!AO171/40,"")</f>
        <v>0.5</v>
      </c>
      <c r="AN16" s="708">
        <f>IFERROR('2. Roles &amp; Pricing'!AP171/40,"")</f>
        <v>0.5</v>
      </c>
      <c r="AO16" s="708">
        <f>IFERROR('2. Roles &amp; Pricing'!AQ171/40,"")</f>
        <v>0.5</v>
      </c>
      <c r="AP16" s="708">
        <f>IFERROR('2. Roles &amp; Pricing'!AR171/40,"")</f>
        <v>0.5</v>
      </c>
      <c r="AQ16" s="708">
        <f>IFERROR('2. Roles &amp; Pricing'!AS171/40,"")</f>
        <v>0.5</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15</v>
      </c>
      <c r="BO16" s="213">
        <f t="shared" ref="BO16:BO32" si="50">+BN16*5</f>
        <v>75</v>
      </c>
      <c r="BP16" s="199">
        <f>'2. Roles &amp; Pricing'!D292</f>
        <v>33000</v>
      </c>
      <c r="BQ16" s="199">
        <f>'2. Roles &amp; Pricing'!F292</f>
        <v>10800</v>
      </c>
      <c r="BR16" s="623">
        <f>'2. Roles &amp; Pricing'!F292</f>
        <v>10800</v>
      </c>
      <c r="BS16" s="200">
        <f>'2. Roles &amp; Pricing'!I292</f>
        <v>55</v>
      </c>
      <c r="BT16" s="201">
        <f t="shared" ref="BT16:BT32" si="51">BP16</f>
        <v>33000</v>
      </c>
      <c r="BU16" s="214">
        <f t="shared" si="48"/>
        <v>600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0.5" thickBot="1" x14ac:dyDescent="0.4">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0.5" thickBot="1" x14ac:dyDescent="0.4">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5" thickBot="1" x14ac:dyDescent="0.4">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5" thickBot="1" x14ac:dyDescent="0.4">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5" thickBot="1" x14ac:dyDescent="0.4">
      <c r="A21" s="205">
        <v>7</v>
      </c>
      <c r="B21" s="206">
        <v>3</v>
      </c>
      <c r="C21" s="207" t="str">
        <f t="shared" si="46"/>
        <v>.NET__DOTNET</v>
      </c>
      <c r="D21" s="207" t="str">
        <f t="shared" si="47"/>
        <v>.NET__DOTNET__.NET_.NET</v>
      </c>
      <c r="E21" s="207">
        <v>21</v>
      </c>
      <c r="F21" s="207">
        <v>8</v>
      </c>
      <c r="G21" s="208" t="str">
        <f>'2. Roles &amp; Pricing'!D54</f>
        <v>.NET</v>
      </c>
      <c r="H21" s="209" t="str">
        <f>'2. Roles &amp; Pricing'!E54</f>
        <v>DOTNET</v>
      </c>
      <c r="I21" s="210" t="str">
        <f>'2. Roles &amp; Pricing'!F54</f>
        <v>.NET_.NET</v>
      </c>
      <c r="J21" s="210" t="str">
        <f>'2. Roles &amp; Pricing'!K54</f>
        <v>Multi-Solution Architect</v>
      </c>
      <c r="K21" s="197" t="str">
        <f>'2. Roles &amp; Pricing'!W54</f>
        <v>Offshore</v>
      </c>
      <c r="L21" s="209"/>
      <c r="M21" s="210"/>
      <c r="N21" s="707">
        <f>IFERROR('2. Roles &amp; Pricing'!F176/40,"")</f>
        <v>1</v>
      </c>
      <c r="O21" s="707">
        <f>IFERROR('2. Roles &amp; Pricing'!I176/40,"")</f>
        <v>1</v>
      </c>
      <c r="P21" s="707">
        <f>IFERROR('2. Roles &amp; Pricing'!K176/40,"")</f>
        <v>1</v>
      </c>
      <c r="Q21" s="707">
        <f>IFERROR('2. Roles &amp; Pricing'!L176/40,"")</f>
        <v>1</v>
      </c>
      <c r="R21" s="707">
        <f>IFERROR('2. Roles &amp; Pricing'!M176/40,"")</f>
        <v>1</v>
      </c>
      <c r="S21" s="707">
        <f>IFERROR('2. Roles &amp; Pricing'!N176/40,"")</f>
        <v>1</v>
      </c>
      <c r="T21" s="707">
        <f>IFERROR('2. Roles &amp; Pricing'!O176/40,"")</f>
        <v>1</v>
      </c>
      <c r="U21" s="709">
        <f>IFERROR('2. Roles &amp; Pricing'!P176/40,"")</f>
        <v>1</v>
      </c>
      <c r="V21" s="709">
        <f>IFERROR('2. Roles &amp; Pricing'!Q176/40,"")</f>
        <v>1</v>
      </c>
      <c r="W21" s="709">
        <f>IFERROR('2. Roles &amp; Pricing'!R176/40,"")</f>
        <v>1</v>
      </c>
      <c r="X21" s="708">
        <f>IFERROR('2. Roles &amp; Pricing'!S176/40,"")</f>
        <v>1</v>
      </c>
      <c r="Y21" s="708">
        <f>IFERROR('2. Roles &amp; Pricing'!T176/40,"")</f>
        <v>1</v>
      </c>
      <c r="Z21" s="708">
        <f>IFERROR('2. Roles &amp; Pricing'!U176/40,"")</f>
        <v>1</v>
      </c>
      <c r="AA21" s="708">
        <f>IFERROR('2. Roles &amp; Pricing'!Y176/40,"")</f>
        <v>1</v>
      </c>
      <c r="AB21" s="708">
        <f>IFERROR('2. Roles &amp; Pricing'!Z176/40,"")</f>
        <v>1</v>
      </c>
      <c r="AC21" s="708">
        <f>IFERROR('2. Roles &amp; Pricing'!AA176/40,"")</f>
        <v>1</v>
      </c>
      <c r="AD21" s="708">
        <f>IFERROR('2. Roles &amp; Pricing'!AB176/40,"")</f>
        <v>1</v>
      </c>
      <c r="AE21" s="708">
        <f>IFERROR('2. Roles &amp; Pricing'!AG176/40,"")</f>
        <v>1</v>
      </c>
      <c r="AF21" s="708">
        <f>IFERROR('2. Roles &amp; Pricing'!AH176/40,"")</f>
        <v>1</v>
      </c>
      <c r="AG21" s="708">
        <f>IFERROR('2. Roles &amp; Pricing'!AI176/40,"")</f>
        <v>1</v>
      </c>
      <c r="AH21" s="708">
        <f>IFERROR('2. Roles &amp; Pricing'!AJ176/40,"")</f>
        <v>1</v>
      </c>
      <c r="AI21" s="708">
        <f>IFERROR('2. Roles &amp; Pricing'!AK176/40,"")</f>
        <v>1</v>
      </c>
      <c r="AJ21" s="708">
        <f>IFERROR('2. Roles &amp; Pricing'!AL176/40,"")</f>
        <v>1</v>
      </c>
      <c r="AK21" s="708">
        <f>IFERROR('2. Roles &amp; Pricing'!AM176/40,"")</f>
        <v>1</v>
      </c>
      <c r="AL21" s="708">
        <f>IFERROR('2. Roles &amp; Pricing'!AN176/40,"")</f>
        <v>1</v>
      </c>
      <c r="AM21" s="708">
        <f>IFERROR('2. Roles &amp; Pricing'!AO176/40,"")</f>
        <v>1</v>
      </c>
      <c r="AN21" s="708">
        <f>IFERROR('2. Roles &amp; Pricing'!AP176/40,"")</f>
        <v>1</v>
      </c>
      <c r="AO21" s="708">
        <f>IFERROR('2. Roles &amp; Pricing'!AQ176/40,"")</f>
        <v>1</v>
      </c>
      <c r="AP21" s="708">
        <f>IFERROR('2. Roles &amp; Pricing'!AR176/40,"")</f>
        <v>1</v>
      </c>
      <c r="AQ21" s="708">
        <f>IFERROR('2. Roles &amp; Pricing'!AS176/40,"")</f>
        <v>1</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30</v>
      </c>
      <c r="BO21" s="213">
        <f t="shared" si="50"/>
        <v>150</v>
      </c>
      <c r="BP21" s="199">
        <f>'2. Roles &amp; Pricing'!D297</f>
        <v>150000</v>
      </c>
      <c r="BQ21" s="199">
        <f>'2. Roles &amp; Pricing'!F297</f>
        <v>75000</v>
      </c>
      <c r="BR21" s="623">
        <f>'2. Roles &amp; Pricing'!F297</f>
        <v>75000</v>
      </c>
      <c r="BS21" s="200">
        <f>'2. Roles &amp; Pricing'!I297</f>
        <v>125</v>
      </c>
      <c r="BT21" s="201">
        <f t="shared" si="51"/>
        <v>150000</v>
      </c>
      <c r="BU21" s="214">
        <f t="shared" si="48"/>
        <v>1200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5" thickBot="1" x14ac:dyDescent="0.4">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f>IFERROR('2. Roles &amp; Pricing'!F177/40,"")</f>
        <v>1</v>
      </c>
      <c r="O22" s="707">
        <f>IFERROR('2. Roles &amp; Pricing'!I177/40,"")</f>
        <v>1</v>
      </c>
      <c r="P22" s="707">
        <f>IFERROR('2. Roles &amp; Pricing'!K177/40,"")</f>
        <v>1</v>
      </c>
      <c r="Q22" s="707">
        <f>IFERROR('2. Roles &amp; Pricing'!L177/40,"")</f>
        <v>1</v>
      </c>
      <c r="R22" s="707">
        <f>IFERROR('2. Roles &amp; Pricing'!M177/40,"")</f>
        <v>1</v>
      </c>
      <c r="S22" s="707">
        <f>IFERROR('2. Roles &amp; Pricing'!N177/40,"")</f>
        <v>1</v>
      </c>
      <c r="T22" s="707">
        <f>IFERROR('2. Roles &amp; Pricing'!O177/40,"")</f>
        <v>1</v>
      </c>
      <c r="U22" s="709">
        <f>IFERROR('2. Roles &amp; Pricing'!P177/40,"")</f>
        <v>1</v>
      </c>
      <c r="V22" s="709">
        <f>IFERROR('2. Roles &amp; Pricing'!Q177/40,"")</f>
        <v>1</v>
      </c>
      <c r="W22" s="709">
        <f>IFERROR('2. Roles &amp; Pricing'!R177/40,"")</f>
        <v>1</v>
      </c>
      <c r="X22" s="708">
        <f>IFERROR('2. Roles &amp; Pricing'!S177/40,"")</f>
        <v>1</v>
      </c>
      <c r="Y22" s="708">
        <f>IFERROR('2. Roles &amp; Pricing'!T177/40,"")</f>
        <v>1</v>
      </c>
      <c r="Z22" s="708">
        <f>IFERROR('2. Roles &amp; Pricing'!U177/40,"")</f>
        <v>1</v>
      </c>
      <c r="AA22" s="708">
        <f>IFERROR('2. Roles &amp; Pricing'!Y177/40,"")</f>
        <v>1</v>
      </c>
      <c r="AB22" s="708">
        <f>IFERROR('2. Roles &amp; Pricing'!Z177/40,"")</f>
        <v>1</v>
      </c>
      <c r="AC22" s="708">
        <f>IFERROR('2. Roles &amp; Pricing'!AA177/40,"")</f>
        <v>1</v>
      </c>
      <c r="AD22" s="708">
        <f>IFERROR('2. Roles &amp; Pricing'!AB177/40,"")</f>
        <v>1</v>
      </c>
      <c r="AE22" s="708">
        <f>IFERROR('2. Roles &amp; Pricing'!AG177/40,"")</f>
        <v>1</v>
      </c>
      <c r="AF22" s="708">
        <f>IFERROR('2. Roles &amp; Pricing'!AH177/40,"")</f>
        <v>1</v>
      </c>
      <c r="AG22" s="708">
        <f>IFERROR('2. Roles &amp; Pricing'!AI177/40,"")</f>
        <v>1</v>
      </c>
      <c r="AH22" s="708">
        <f>IFERROR('2. Roles &amp; Pricing'!AJ177/40,"")</f>
        <v>1</v>
      </c>
      <c r="AI22" s="708">
        <f>IFERROR('2. Roles &amp; Pricing'!AK177/40,"")</f>
        <v>1</v>
      </c>
      <c r="AJ22" s="708">
        <f>IFERROR('2. Roles &amp; Pricing'!AL177/40,"")</f>
        <v>1</v>
      </c>
      <c r="AK22" s="708">
        <f>IFERROR('2. Roles &amp; Pricing'!AM177/40,"")</f>
        <v>1</v>
      </c>
      <c r="AL22" s="708">
        <f>IFERROR('2. Roles &amp; Pricing'!AN177/40,"")</f>
        <v>1</v>
      </c>
      <c r="AM22" s="708">
        <f>IFERROR('2. Roles &amp; Pricing'!AO177/40,"")</f>
        <v>1</v>
      </c>
      <c r="AN22" s="708">
        <f>IFERROR('2. Roles &amp; Pricing'!AP177/40,"")</f>
        <v>1</v>
      </c>
      <c r="AO22" s="708">
        <f>IFERROR('2. Roles &amp; Pricing'!AQ177/40,"")</f>
        <v>1</v>
      </c>
      <c r="AP22" s="708">
        <f>IFERROR('2. Roles &amp; Pricing'!AR177/40,"")</f>
        <v>1</v>
      </c>
      <c r="AQ22" s="708">
        <f>IFERROR('2. Roles &amp; Pricing'!AS177/40,"")</f>
        <v>1</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30</v>
      </c>
      <c r="BO22" s="213">
        <f t="shared" si="50"/>
        <v>150</v>
      </c>
      <c r="BP22" s="199">
        <f>'2. Roles &amp; Pricing'!D298</f>
        <v>0</v>
      </c>
      <c r="BQ22" s="199">
        <f>'2. Roles &amp; Pricing'!F298</f>
        <v>0</v>
      </c>
      <c r="BR22" s="623">
        <f>'2. Roles &amp; Pricing'!F298</f>
        <v>0</v>
      </c>
      <c r="BS22" s="200">
        <f>'2. Roles &amp; Pricing'!I298</f>
        <v>0</v>
      </c>
      <c r="BT22" s="201">
        <f t="shared" si="51"/>
        <v>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5" thickBot="1" x14ac:dyDescent="0.4">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5" customHeight="1" thickBot="1" x14ac:dyDescent="0.4">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973"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5" thickBot="1" x14ac:dyDescent="0.4">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974"/>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5" thickBot="1" x14ac:dyDescent="0.4">
      <c r="A33" s="1983"/>
      <c r="B33" s="1984"/>
      <c r="C33" s="1984"/>
      <c r="D33" s="1984"/>
      <c r="E33" s="1984"/>
      <c r="F33" s="1984"/>
      <c r="G33" s="1984"/>
      <c r="H33" s="1984"/>
      <c r="I33" s="1985"/>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213</v>
      </c>
      <c r="BO33" s="250">
        <f>SUM(BO15:BO32)</f>
        <v>1065</v>
      </c>
      <c r="BP33" s="251">
        <f>SUM(BP15:BP32)</f>
        <v>862200</v>
      </c>
      <c r="BQ33" s="199">
        <f>'2. Roles &amp; Pricing'!F309</f>
        <v>0</v>
      </c>
      <c r="BR33" s="252"/>
      <c r="BS33" s="253"/>
      <c r="BT33" s="254">
        <f>SUM(BT15:BT32)</f>
        <v>862200</v>
      </c>
      <c r="BU33" s="255">
        <f>SUM(BU15:BU32)</f>
        <v>8520</v>
      </c>
    </row>
    <row r="34" spans="1:75" s="204" customFormat="1" ht="14.5" thickBot="1" x14ac:dyDescent="0.4">
      <c r="A34" s="1983"/>
      <c r="B34" s="1984"/>
      <c r="C34" s="1984"/>
      <c r="D34" s="1984"/>
      <c r="E34" s="1984"/>
      <c r="F34" s="1984"/>
      <c r="G34" s="1984"/>
      <c r="H34" s="1984"/>
      <c r="I34" s="1985"/>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5" thickBot="1" x14ac:dyDescent="0.35">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975" t="s">
        <v>2021</v>
      </c>
      <c r="BO35" s="1976"/>
      <c r="BP35" s="864">
        <v>0</v>
      </c>
      <c r="BR35" s="141"/>
      <c r="BS35" s="146" t="s">
        <v>2022</v>
      </c>
      <c r="BT35" s="2059">
        <f>IF(H5="Fixed Price",'3. Financial Inputs'!C67,'3. Financial Inputs'!C65)</f>
        <v>43110</v>
      </c>
      <c r="BU35" s="142" t="s">
        <v>2178</v>
      </c>
    </row>
    <row r="36" spans="1:75" s="140" customFormat="1" ht="14.5" thickBot="1" x14ac:dyDescent="0.35">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977" t="s">
        <v>2024</v>
      </c>
      <c r="BO36" s="1978"/>
      <c r="BP36" s="272">
        <f>+BP33-BP35</f>
        <v>862200</v>
      </c>
      <c r="BR36" s="141"/>
      <c r="BS36" s="145"/>
      <c r="BT36" s="142"/>
      <c r="BU36" s="142"/>
    </row>
    <row r="37" spans="1:75" s="140" customFormat="1" x14ac:dyDescent="0.3">
      <c r="A37" s="141"/>
      <c r="B37" s="262"/>
      <c r="C37" s="262"/>
      <c r="D37" s="262"/>
      <c r="E37" s="262"/>
      <c r="F37" s="262"/>
      <c r="J37" s="273" t="s">
        <v>180</v>
      </c>
      <c r="K37" s="147"/>
      <c r="N37" s="274">
        <f t="shared" ref="N37:AS37" si="52">SUMPRODUCT(N15:N32,$BS$15:$BS$32)*40</f>
        <v>28740</v>
      </c>
      <c r="O37" s="275">
        <f t="shared" si="52"/>
        <v>28740</v>
      </c>
      <c r="P37" s="276">
        <f t="shared" si="52"/>
        <v>28740</v>
      </c>
      <c r="Q37" s="277">
        <f t="shared" si="52"/>
        <v>28740</v>
      </c>
      <c r="R37" s="278">
        <f t="shared" si="52"/>
        <v>28740</v>
      </c>
      <c r="S37" s="277">
        <f t="shared" si="52"/>
        <v>28740</v>
      </c>
      <c r="T37" s="278">
        <f t="shared" si="52"/>
        <v>28740</v>
      </c>
      <c r="U37" s="277">
        <f t="shared" si="52"/>
        <v>28740</v>
      </c>
      <c r="V37" s="278">
        <f t="shared" si="52"/>
        <v>28740</v>
      </c>
      <c r="W37" s="277">
        <f t="shared" si="52"/>
        <v>28740</v>
      </c>
      <c r="X37" s="278">
        <f t="shared" si="52"/>
        <v>28740</v>
      </c>
      <c r="Y37" s="277">
        <f t="shared" si="52"/>
        <v>28740</v>
      </c>
      <c r="Z37" s="278">
        <f t="shared" si="52"/>
        <v>28740</v>
      </c>
      <c r="AA37" s="277">
        <f t="shared" si="52"/>
        <v>28740</v>
      </c>
      <c r="AB37" s="278">
        <f t="shared" si="52"/>
        <v>28740</v>
      </c>
      <c r="AC37" s="277">
        <f t="shared" si="52"/>
        <v>28740</v>
      </c>
      <c r="AD37" s="278">
        <f t="shared" si="52"/>
        <v>28740</v>
      </c>
      <c r="AE37" s="277">
        <f t="shared" si="52"/>
        <v>28740</v>
      </c>
      <c r="AF37" s="278">
        <f t="shared" si="52"/>
        <v>28740</v>
      </c>
      <c r="AG37" s="277">
        <f t="shared" si="52"/>
        <v>28740</v>
      </c>
      <c r="AH37" s="277">
        <f t="shared" si="52"/>
        <v>28740</v>
      </c>
      <c r="AI37" s="278">
        <f t="shared" si="52"/>
        <v>28740</v>
      </c>
      <c r="AJ37" s="277">
        <f t="shared" si="52"/>
        <v>28740</v>
      </c>
      <c r="AK37" s="278">
        <f t="shared" si="52"/>
        <v>28740</v>
      </c>
      <c r="AL37" s="277">
        <f t="shared" si="52"/>
        <v>28740</v>
      </c>
      <c r="AM37" s="278">
        <f t="shared" si="52"/>
        <v>28740</v>
      </c>
      <c r="AN37" s="277">
        <f t="shared" si="52"/>
        <v>28740</v>
      </c>
      <c r="AO37" s="278">
        <f t="shared" si="52"/>
        <v>28740</v>
      </c>
      <c r="AP37" s="277">
        <f t="shared" si="52"/>
        <v>28740</v>
      </c>
      <c r="AQ37" s="278">
        <f t="shared" si="52"/>
        <v>28740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979" t="s">
        <v>2025</v>
      </c>
      <c r="BO37" s="1980"/>
      <c r="BP37" s="279">
        <f>+BP36*1.4</f>
        <v>1207080</v>
      </c>
      <c r="BR37" s="141"/>
      <c r="BS37" s="280"/>
      <c r="BT37" s="281" t="s">
        <v>2026</v>
      </c>
      <c r="BU37" s="281" t="s">
        <v>2027</v>
      </c>
      <c r="BV37" s="281" t="s">
        <v>2028</v>
      </c>
    </row>
    <row r="38" spans="1:75" s="140" customFormat="1" ht="14.5" thickBot="1" x14ac:dyDescent="0.35">
      <c r="A38" s="141"/>
      <c r="B38" s="262"/>
      <c r="C38" s="262"/>
      <c r="D38" s="262"/>
      <c r="E38" s="262"/>
      <c r="F38" s="262"/>
      <c r="J38" s="273" t="s">
        <v>2029</v>
      </c>
      <c r="K38" s="147"/>
      <c r="N38" s="282">
        <f>SUM(N37)</f>
        <v>28740</v>
      </c>
      <c r="O38" s="1956">
        <f>SUM(O37:Q37)</f>
        <v>86220</v>
      </c>
      <c r="P38" s="1957"/>
      <c r="Q38" s="1958"/>
      <c r="R38" s="1959">
        <f>SUM(R37:S37)</f>
        <v>57480</v>
      </c>
      <c r="S38" s="1960"/>
      <c r="T38" s="1956">
        <f>SUM(T37:U37)</f>
        <v>57480</v>
      </c>
      <c r="U38" s="1958"/>
      <c r="V38" s="1959">
        <f>SUM(V37:AS37)</f>
        <v>632280</v>
      </c>
      <c r="W38" s="1961"/>
      <c r="X38" s="1961"/>
      <c r="Y38" s="1961"/>
      <c r="Z38" s="1961"/>
      <c r="AA38" s="1961"/>
      <c r="AB38" s="1961"/>
      <c r="AC38" s="1961"/>
      <c r="AD38" s="1961"/>
      <c r="AE38" s="1961"/>
      <c r="AF38" s="1961"/>
      <c r="AG38" s="1961"/>
      <c r="AH38" s="1961"/>
      <c r="AI38" s="1961"/>
      <c r="AJ38" s="1961"/>
      <c r="AK38" s="1961"/>
      <c r="AL38" s="1961"/>
      <c r="AM38" s="1961"/>
      <c r="AN38" s="1961"/>
      <c r="AO38" s="1961"/>
      <c r="AP38" s="1961"/>
      <c r="AQ38" s="1961"/>
      <c r="AR38" s="1961"/>
      <c r="AS38" s="1960"/>
      <c r="AT38" s="1956">
        <f>SUM(AT37:AU37)</f>
        <v>0</v>
      </c>
      <c r="AU38" s="1958"/>
      <c r="AV38" s="1959">
        <f>SUM(AV37:AW37)</f>
        <v>0</v>
      </c>
      <c r="AW38" s="1960"/>
      <c r="AX38" s="1956">
        <f>SUM(AX37:AY37)</f>
        <v>0</v>
      </c>
      <c r="AY38" s="1958"/>
      <c r="AZ38" s="1959">
        <f>SUM(AZ37:BA37)</f>
        <v>0</v>
      </c>
      <c r="BA38" s="1960"/>
      <c r="BB38" s="1956">
        <f>SUM(BB37:BC37)</f>
        <v>0</v>
      </c>
      <c r="BC38" s="1958"/>
      <c r="BD38" s="1956">
        <f>SUM(BD37:BE37)</f>
        <v>0</v>
      </c>
      <c r="BE38" s="1958"/>
      <c r="BF38" s="1959">
        <f>SUM(BF37:BG37)</f>
        <v>0</v>
      </c>
      <c r="BG38" s="1960"/>
      <c r="BH38" s="1956">
        <f>SUM(BH37:BI37)</f>
        <v>0</v>
      </c>
      <c r="BI38" s="1958"/>
      <c r="BJ38" s="1959">
        <f>SUM(BJ37:BK37)</f>
        <v>0</v>
      </c>
      <c r="BK38" s="1960"/>
      <c r="BL38" s="1956">
        <f>SUM(BL37:BM37)</f>
        <v>0</v>
      </c>
      <c r="BM38" s="1958"/>
      <c r="BN38" s="1981" t="s">
        <v>2030</v>
      </c>
      <c r="BO38" s="1982"/>
      <c r="BP38" s="283">
        <f>+BP36*1.2</f>
        <v>1034640</v>
      </c>
      <c r="BR38" s="141"/>
      <c r="BS38" s="284" t="s">
        <v>2031</v>
      </c>
      <c r="BT38" s="285">
        <f>BP36-BP35</f>
        <v>862200</v>
      </c>
      <c r="BU38" s="286">
        <f>(BT38-BQ33)/BT38</f>
        <v>1</v>
      </c>
      <c r="BV38" s="285">
        <f>BT38/BU33</f>
        <v>101.19718309859155</v>
      </c>
    </row>
    <row r="39" spans="1:75" s="140" customFormat="1" ht="14.5" thickBot="1" x14ac:dyDescent="0.35">
      <c r="A39" s="141"/>
      <c r="B39" s="262"/>
      <c r="C39" s="262"/>
      <c r="D39" s="262"/>
      <c r="E39" s="262"/>
      <c r="F39" s="262"/>
      <c r="J39" s="287" t="s">
        <v>2032</v>
      </c>
      <c r="K39" s="147"/>
      <c r="N39" s="1969">
        <f>SUM(N37:Q37)</f>
        <v>114960</v>
      </c>
      <c r="O39" s="1970"/>
      <c r="P39" s="1970"/>
      <c r="Q39" s="1970"/>
      <c r="R39" s="1971">
        <f>SUM(R37:U37)</f>
        <v>114960</v>
      </c>
      <c r="S39" s="1972"/>
      <c r="T39" s="1972"/>
      <c r="U39" s="1972"/>
      <c r="V39" s="1969">
        <f>SUM(V37:BE37)</f>
        <v>632280</v>
      </c>
      <c r="W39" s="1970"/>
      <c r="X39" s="1970"/>
      <c r="Y39" s="1970"/>
      <c r="Z39" s="1970"/>
      <c r="AA39" s="1970"/>
      <c r="AB39" s="1970"/>
      <c r="AC39" s="1970"/>
      <c r="AD39" s="1970"/>
      <c r="AE39" s="1970"/>
      <c r="AF39" s="1970"/>
      <c r="AG39" s="1970"/>
      <c r="AH39" s="1970"/>
      <c r="AI39" s="1970"/>
      <c r="AJ39" s="1970"/>
      <c r="AK39" s="1970"/>
      <c r="AL39" s="1970"/>
      <c r="AM39" s="1970"/>
      <c r="AN39" s="1970"/>
      <c r="AO39" s="1970"/>
      <c r="AP39" s="1970"/>
      <c r="AQ39" s="1970"/>
      <c r="AR39" s="1970"/>
      <c r="AS39" s="1970"/>
      <c r="AT39" s="1970"/>
      <c r="AU39" s="1970"/>
      <c r="AV39" s="1970"/>
      <c r="AW39" s="1970"/>
      <c r="AX39" s="1970"/>
      <c r="AY39" s="1970"/>
      <c r="AZ39" s="1970"/>
      <c r="BA39" s="1970"/>
      <c r="BB39" s="1970"/>
      <c r="BC39" s="1970"/>
      <c r="BD39" s="1970"/>
      <c r="BE39" s="1970"/>
      <c r="BF39" s="1971">
        <f>SUM(BF37:BI37)</f>
        <v>0</v>
      </c>
      <c r="BG39" s="1972"/>
      <c r="BH39" s="1972"/>
      <c r="BI39" s="1972"/>
      <c r="BJ39" s="1969">
        <f>SUM(BJ37:BM37)</f>
        <v>0</v>
      </c>
      <c r="BK39" s="1970"/>
      <c r="BL39" s="1970"/>
      <c r="BM39" s="1970"/>
      <c r="BN39" s="1965" t="s">
        <v>2033</v>
      </c>
      <c r="BO39" s="1966"/>
      <c r="BP39" s="288">
        <f>+BP36*1.3</f>
        <v>1120860</v>
      </c>
      <c r="BR39" s="141"/>
      <c r="BS39" s="289" t="s">
        <v>2034</v>
      </c>
      <c r="BT39" s="290">
        <f>BT33-BT35</f>
        <v>819090</v>
      </c>
      <c r="BU39" s="291">
        <f>(BT39-BQ33)/BT39</f>
        <v>1</v>
      </c>
      <c r="BV39" s="290">
        <f>BT39/BU33</f>
        <v>96.137323943661968</v>
      </c>
    </row>
    <row r="40" spans="1:75" s="140" customFormat="1" ht="14.5" thickBot="1" x14ac:dyDescent="0.35">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5" thickBot="1" x14ac:dyDescent="0.35">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967" t="s">
        <v>2038</v>
      </c>
      <c r="BO41" s="1968"/>
      <c r="BP41" s="293">
        <f>BT33</f>
        <v>862200</v>
      </c>
      <c r="BQ41" s="294" t="s">
        <v>2039</v>
      </c>
      <c r="BR41" s="141"/>
    </row>
    <row r="42" spans="1:75" x14ac:dyDescent="0.3">
      <c r="J42" s="273" t="s">
        <v>180</v>
      </c>
      <c r="N42" s="274">
        <f t="shared" ref="N42:AS42" si="54">SUMPRODUCT(N15:N32,$BS$15:$BS$32)*40*1.2</f>
        <v>34488</v>
      </c>
      <c r="O42" s="278">
        <f t="shared" si="54"/>
        <v>34488</v>
      </c>
      <c r="P42" s="276">
        <f t="shared" si="54"/>
        <v>34488</v>
      </c>
      <c r="Q42" s="277">
        <f t="shared" si="54"/>
        <v>34488</v>
      </c>
      <c r="R42" s="278">
        <f t="shared" si="54"/>
        <v>34488</v>
      </c>
      <c r="S42" s="277">
        <f t="shared" si="54"/>
        <v>34488</v>
      </c>
      <c r="T42" s="278">
        <f t="shared" si="54"/>
        <v>34488</v>
      </c>
      <c r="U42" s="277">
        <f t="shared" si="54"/>
        <v>34488</v>
      </c>
      <c r="V42" s="278">
        <f t="shared" si="54"/>
        <v>34488</v>
      </c>
      <c r="W42" s="277">
        <f t="shared" si="54"/>
        <v>34488</v>
      </c>
      <c r="X42" s="278">
        <f t="shared" si="54"/>
        <v>34488</v>
      </c>
      <c r="Y42" s="277">
        <f t="shared" si="54"/>
        <v>34488</v>
      </c>
      <c r="Z42" s="278">
        <f t="shared" si="54"/>
        <v>34488</v>
      </c>
      <c r="AA42" s="277">
        <f t="shared" si="54"/>
        <v>34488</v>
      </c>
      <c r="AB42" s="278">
        <f t="shared" si="54"/>
        <v>34488</v>
      </c>
      <c r="AC42" s="277">
        <f t="shared" si="54"/>
        <v>34488</v>
      </c>
      <c r="AD42" s="278">
        <f t="shared" si="54"/>
        <v>34488</v>
      </c>
      <c r="AE42" s="277">
        <f t="shared" si="54"/>
        <v>34488</v>
      </c>
      <c r="AF42" s="278">
        <f t="shared" si="54"/>
        <v>34488</v>
      </c>
      <c r="AG42" s="277">
        <f t="shared" si="54"/>
        <v>34488</v>
      </c>
      <c r="AH42" s="277">
        <f t="shared" si="54"/>
        <v>34488</v>
      </c>
      <c r="AI42" s="278">
        <f t="shared" si="54"/>
        <v>34488</v>
      </c>
      <c r="AJ42" s="277">
        <f t="shared" si="54"/>
        <v>34488</v>
      </c>
      <c r="AK42" s="278">
        <f t="shared" si="54"/>
        <v>34488</v>
      </c>
      <c r="AL42" s="277">
        <f t="shared" si="54"/>
        <v>34488</v>
      </c>
      <c r="AM42" s="278">
        <f t="shared" si="54"/>
        <v>34488</v>
      </c>
      <c r="AN42" s="277">
        <f t="shared" si="54"/>
        <v>34488</v>
      </c>
      <c r="AO42" s="278">
        <f t="shared" si="54"/>
        <v>34488</v>
      </c>
      <c r="AP42" s="277">
        <f t="shared" si="54"/>
        <v>34488</v>
      </c>
      <c r="AQ42" s="278">
        <f t="shared" si="54"/>
        <v>34488</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950" t="s">
        <v>2040</v>
      </c>
      <c r="BO42" s="1951"/>
      <c r="BP42" s="295"/>
      <c r="BT42" s="281" t="s">
        <v>2041</v>
      </c>
      <c r="BU42" s="281" t="s">
        <v>2042</v>
      </c>
      <c r="BV42" s="281" t="s">
        <v>2028</v>
      </c>
      <c r="BW42" s="296" t="s">
        <v>2043</v>
      </c>
    </row>
    <row r="43" spans="1:75" ht="14.5" thickBot="1" x14ac:dyDescent="0.35">
      <c r="J43" s="273" t="s">
        <v>2029</v>
      </c>
      <c r="N43" s="282">
        <f>SUM(N42)</f>
        <v>34488</v>
      </c>
      <c r="O43" s="1956">
        <f>SUM(O42:Q42)</f>
        <v>103464</v>
      </c>
      <c r="P43" s="1957"/>
      <c r="Q43" s="1958"/>
      <c r="R43" s="1959">
        <f>SUM(R42:S42)</f>
        <v>68976</v>
      </c>
      <c r="S43" s="1960"/>
      <c r="T43" s="1956">
        <f>SUM(T42:U42)</f>
        <v>68976</v>
      </c>
      <c r="U43" s="1958"/>
      <c r="V43" s="1959">
        <f>SUM(V42:AS42)</f>
        <v>758736</v>
      </c>
      <c r="W43" s="1961"/>
      <c r="X43" s="1961"/>
      <c r="Y43" s="1961"/>
      <c r="Z43" s="1961"/>
      <c r="AA43" s="1961"/>
      <c r="AB43" s="1961"/>
      <c r="AC43" s="1961"/>
      <c r="AD43" s="1961"/>
      <c r="AE43" s="1961"/>
      <c r="AF43" s="1961"/>
      <c r="AG43" s="1961"/>
      <c r="AH43" s="1961"/>
      <c r="AI43" s="1961"/>
      <c r="AJ43" s="1961"/>
      <c r="AK43" s="1961"/>
      <c r="AL43" s="1961"/>
      <c r="AM43" s="1961"/>
      <c r="AN43" s="1961"/>
      <c r="AO43" s="1961"/>
      <c r="AP43" s="1961"/>
      <c r="AQ43" s="1961"/>
      <c r="AR43" s="1961"/>
      <c r="AS43" s="1960"/>
      <c r="AT43" s="1956">
        <f>SUM(AT42:AU42)</f>
        <v>0</v>
      </c>
      <c r="AU43" s="1958"/>
      <c r="AV43" s="1959">
        <f>SUM(AV42:AW42)</f>
        <v>0</v>
      </c>
      <c r="AW43" s="1960"/>
      <c r="AX43" s="1956">
        <f>SUM(AX42:AY42)</f>
        <v>0</v>
      </c>
      <c r="AY43" s="1958"/>
      <c r="AZ43" s="1959">
        <f>SUM(AZ42:BA42)</f>
        <v>0</v>
      </c>
      <c r="BA43" s="1960"/>
      <c r="BB43" s="1956">
        <f>SUM(BB42:BC42)</f>
        <v>0</v>
      </c>
      <c r="BC43" s="1958"/>
      <c r="BD43" s="1956">
        <f>SUM(BD42:BE42)</f>
        <v>0</v>
      </c>
      <c r="BE43" s="1958"/>
      <c r="BF43" s="1959">
        <f>SUM(BF42:BG42)</f>
        <v>0</v>
      </c>
      <c r="BG43" s="1960"/>
      <c r="BH43" s="1956">
        <f>SUM(BH42:BI42)</f>
        <v>0</v>
      </c>
      <c r="BI43" s="1958"/>
      <c r="BJ43" s="1959">
        <f>SUM(BJ42:BK42)</f>
        <v>0</v>
      </c>
      <c r="BK43" s="1960"/>
      <c r="BL43" s="1956">
        <f>SUM(BL42:BM42)</f>
        <v>0</v>
      </c>
      <c r="BM43" s="1958"/>
      <c r="BN43" s="1950" t="s">
        <v>218</v>
      </c>
      <c r="BO43" s="1951"/>
      <c r="BP43" s="295"/>
      <c r="BS43" s="284" t="s">
        <v>2031</v>
      </c>
      <c r="BT43" s="285">
        <f>BP38-BP35</f>
        <v>1034640</v>
      </c>
      <c r="BU43" s="286">
        <f>(BT43-BQ33)/BT43</f>
        <v>1</v>
      </c>
      <c r="BV43" s="285">
        <f>BT43/BU33</f>
        <v>121.43661971830986</v>
      </c>
    </row>
    <row r="44" spans="1:75" ht="14.5" thickBot="1" x14ac:dyDescent="0.35">
      <c r="J44" s="287" t="s">
        <v>2032</v>
      </c>
      <c r="N44" s="1947">
        <f>SUM(N42:Q42)</f>
        <v>137952</v>
      </c>
      <c r="O44" s="1948"/>
      <c r="P44" s="1948"/>
      <c r="Q44" s="1949"/>
      <c r="R44" s="1962">
        <f t="shared" ref="R44" si="56">SUM(R42:U42)</f>
        <v>137952</v>
      </c>
      <c r="S44" s="1963"/>
      <c r="T44" s="1963"/>
      <c r="U44" s="1964"/>
      <c r="V44" s="1947">
        <f t="shared" ref="V44" si="57">SUM(V42:BE42)</f>
        <v>758736</v>
      </c>
      <c r="W44" s="1948"/>
      <c r="X44" s="1948"/>
      <c r="Y44" s="1948"/>
      <c r="Z44" s="1948"/>
      <c r="AA44" s="1948"/>
      <c r="AB44" s="1948"/>
      <c r="AC44" s="1948"/>
      <c r="AD44" s="1948"/>
      <c r="AE44" s="1948"/>
      <c r="AF44" s="1948"/>
      <c r="AG44" s="1948"/>
      <c r="AH44" s="1948"/>
      <c r="AI44" s="1948"/>
      <c r="AJ44" s="1948"/>
      <c r="AK44" s="1948"/>
      <c r="AL44" s="1948"/>
      <c r="AM44" s="1948"/>
      <c r="AN44" s="1948"/>
      <c r="AO44" s="1948"/>
      <c r="AP44" s="1948"/>
      <c r="AQ44" s="1948"/>
      <c r="AR44" s="1948"/>
      <c r="AS44" s="1948"/>
      <c r="AT44" s="1948"/>
      <c r="AU44" s="1948"/>
      <c r="AV44" s="1948"/>
      <c r="AW44" s="1948"/>
      <c r="AX44" s="1948"/>
      <c r="AY44" s="1948"/>
      <c r="AZ44" s="1948"/>
      <c r="BA44" s="1948"/>
      <c r="BB44" s="1948"/>
      <c r="BC44" s="1948"/>
      <c r="BD44" s="1948"/>
      <c r="BE44" s="1949"/>
      <c r="BF44" s="1962">
        <f t="shared" ref="BF44" si="58">SUM(BF42:BI42)</f>
        <v>0</v>
      </c>
      <c r="BG44" s="1963"/>
      <c r="BH44" s="1963"/>
      <c r="BI44" s="1964"/>
      <c r="BJ44" s="1947">
        <f t="shared" ref="BJ44" si="59">SUM(BJ42:BM42)</f>
        <v>0</v>
      </c>
      <c r="BK44" s="1948"/>
      <c r="BL44" s="1948"/>
      <c r="BM44" s="1949"/>
      <c r="BN44" s="1950" t="s">
        <v>219</v>
      </c>
      <c r="BO44" s="1951"/>
      <c r="BP44" s="295"/>
      <c r="BS44" s="289" t="s">
        <v>2034</v>
      </c>
      <c r="BT44" s="290">
        <f>(BT33-BT35)*1.2</f>
        <v>982908</v>
      </c>
      <c r="BU44" s="291">
        <f>(BT44-BQ33)/BT44</f>
        <v>1</v>
      </c>
      <c r="BV44" s="290">
        <f>BT44/BU33</f>
        <v>115.36478873239436</v>
      </c>
    </row>
    <row r="45" spans="1:75" ht="14.5" thickBot="1" x14ac:dyDescent="0.35">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954" t="s">
        <v>2044</v>
      </c>
      <c r="BO45" s="1955"/>
      <c r="BP45" s="295"/>
      <c r="BS45" s="284" t="s">
        <v>2035</v>
      </c>
      <c r="BT45" s="285">
        <f>BQ33/(1-BU45)</f>
        <v>0</v>
      </c>
      <c r="BU45" s="292">
        <v>0.5</v>
      </c>
      <c r="BV45" s="285">
        <f>BT45/BU33</f>
        <v>0</v>
      </c>
      <c r="BW45" s="140" t="s">
        <v>2036</v>
      </c>
    </row>
    <row r="46" spans="1:75" ht="14.5" thickBot="1" x14ac:dyDescent="0.35">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3">
      <c r="J47" s="273" t="s">
        <v>180</v>
      </c>
      <c r="N47" s="274">
        <f t="shared" ref="N47:AS47" si="60">SUMPRODUCT(N15:N32,$BS$15:$BS$32)*40*1.3</f>
        <v>37362</v>
      </c>
      <c r="O47" s="278">
        <f t="shared" si="60"/>
        <v>37362</v>
      </c>
      <c r="P47" s="276">
        <f t="shared" si="60"/>
        <v>37362</v>
      </c>
      <c r="Q47" s="277">
        <f t="shared" si="60"/>
        <v>37362</v>
      </c>
      <c r="R47" s="278">
        <f t="shared" si="60"/>
        <v>37362</v>
      </c>
      <c r="S47" s="277">
        <f t="shared" si="60"/>
        <v>37362</v>
      </c>
      <c r="T47" s="278">
        <f t="shared" si="60"/>
        <v>37362</v>
      </c>
      <c r="U47" s="277">
        <f t="shared" si="60"/>
        <v>37362</v>
      </c>
      <c r="V47" s="278">
        <f t="shared" si="60"/>
        <v>37362</v>
      </c>
      <c r="W47" s="277">
        <f t="shared" si="60"/>
        <v>37362</v>
      </c>
      <c r="X47" s="278">
        <f t="shared" si="60"/>
        <v>37362</v>
      </c>
      <c r="Y47" s="277">
        <f t="shared" si="60"/>
        <v>37362</v>
      </c>
      <c r="Z47" s="278">
        <f t="shared" si="60"/>
        <v>37362</v>
      </c>
      <c r="AA47" s="277">
        <f t="shared" si="60"/>
        <v>37362</v>
      </c>
      <c r="AB47" s="278">
        <f t="shared" si="60"/>
        <v>37362</v>
      </c>
      <c r="AC47" s="277">
        <f t="shared" si="60"/>
        <v>37362</v>
      </c>
      <c r="AD47" s="278">
        <f t="shared" si="60"/>
        <v>37362</v>
      </c>
      <c r="AE47" s="277">
        <f t="shared" si="60"/>
        <v>37362</v>
      </c>
      <c r="AF47" s="278">
        <f t="shared" si="60"/>
        <v>37362</v>
      </c>
      <c r="AG47" s="277">
        <f t="shared" si="60"/>
        <v>37362</v>
      </c>
      <c r="AH47" s="277">
        <f t="shared" si="60"/>
        <v>37362</v>
      </c>
      <c r="AI47" s="278">
        <f t="shared" si="60"/>
        <v>37362</v>
      </c>
      <c r="AJ47" s="277">
        <f t="shared" si="60"/>
        <v>37362</v>
      </c>
      <c r="AK47" s="278">
        <f t="shared" si="60"/>
        <v>37362</v>
      </c>
      <c r="AL47" s="277">
        <f t="shared" si="60"/>
        <v>37362</v>
      </c>
      <c r="AM47" s="278">
        <f t="shared" si="60"/>
        <v>37362</v>
      </c>
      <c r="AN47" s="277">
        <f t="shared" si="60"/>
        <v>37362</v>
      </c>
      <c r="AO47" s="278">
        <f t="shared" si="60"/>
        <v>37362</v>
      </c>
      <c r="AP47" s="277">
        <f t="shared" si="60"/>
        <v>37362</v>
      </c>
      <c r="AQ47" s="278">
        <f t="shared" si="60"/>
        <v>37362</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5" thickBot="1" x14ac:dyDescent="0.35">
      <c r="J48" s="273" t="s">
        <v>2029</v>
      </c>
      <c r="N48" s="282">
        <f>SUM(N47)</f>
        <v>37362</v>
      </c>
      <c r="O48" s="1956">
        <f>SUM(O47:Q47)</f>
        <v>112086</v>
      </c>
      <c r="P48" s="1957"/>
      <c r="Q48" s="1958"/>
      <c r="R48" s="1959">
        <f>SUM(R47:S47)</f>
        <v>74724</v>
      </c>
      <c r="S48" s="1960"/>
      <c r="T48" s="1956">
        <f>SUM(T47:U47)</f>
        <v>74724</v>
      </c>
      <c r="U48" s="1958"/>
      <c r="V48" s="1959">
        <f>SUM(V47:AS47)</f>
        <v>821964</v>
      </c>
      <c r="W48" s="1961"/>
      <c r="X48" s="1961"/>
      <c r="Y48" s="1961"/>
      <c r="Z48" s="1961"/>
      <c r="AA48" s="1961"/>
      <c r="AB48" s="1961"/>
      <c r="AC48" s="1961"/>
      <c r="AD48" s="1961"/>
      <c r="AE48" s="1961"/>
      <c r="AF48" s="1961"/>
      <c r="AG48" s="1961"/>
      <c r="AH48" s="1961"/>
      <c r="AI48" s="1961"/>
      <c r="AJ48" s="1961"/>
      <c r="AK48" s="1961"/>
      <c r="AL48" s="1961"/>
      <c r="AM48" s="1961"/>
      <c r="AN48" s="1961"/>
      <c r="AO48" s="1961"/>
      <c r="AP48" s="1961"/>
      <c r="AQ48" s="1961"/>
      <c r="AR48" s="1961"/>
      <c r="AS48" s="1960"/>
      <c r="AT48" s="1956">
        <f>SUM(AT47:AU47)</f>
        <v>0</v>
      </c>
      <c r="AU48" s="1958"/>
      <c r="AV48" s="1959">
        <f>SUM(AV47:AW47)</f>
        <v>0</v>
      </c>
      <c r="AW48" s="1960"/>
      <c r="AX48" s="1956">
        <f>SUM(AX47:AY47)</f>
        <v>0</v>
      </c>
      <c r="AY48" s="1958"/>
      <c r="AZ48" s="1959">
        <f>SUM(AZ47:BA47)</f>
        <v>0</v>
      </c>
      <c r="BA48" s="1960"/>
      <c r="BB48" s="1956">
        <f>SUM(BB47:BC47)</f>
        <v>0</v>
      </c>
      <c r="BC48" s="1958"/>
      <c r="BD48" s="1956">
        <f>SUM(BD47:BE47)</f>
        <v>0</v>
      </c>
      <c r="BE48" s="1958"/>
      <c r="BF48" s="1959">
        <f>SUM(BF47:BG47)</f>
        <v>0</v>
      </c>
      <c r="BG48" s="1960"/>
      <c r="BH48" s="1956">
        <f>SUM(BH47:BI47)</f>
        <v>0</v>
      </c>
      <c r="BI48" s="1958"/>
      <c r="BJ48" s="1959">
        <f>SUM(BJ47:BK47)</f>
        <v>0</v>
      </c>
      <c r="BK48" s="1960"/>
      <c r="BL48" s="1956">
        <f>SUM(BL47:BM47)</f>
        <v>0</v>
      </c>
      <c r="BM48" s="1958"/>
      <c r="BN48" s="297"/>
      <c r="BO48" s="298"/>
      <c r="BP48" s="299"/>
    </row>
    <row r="49" spans="1:68" ht="14.5" thickBot="1" x14ac:dyDescent="0.35">
      <c r="J49" s="287" t="s">
        <v>2032</v>
      </c>
      <c r="N49" s="1947">
        <f>SUM(N47:Q47)</f>
        <v>149448</v>
      </c>
      <c r="O49" s="1948"/>
      <c r="P49" s="1948"/>
      <c r="Q49" s="1949"/>
      <c r="R49" s="1962">
        <f>SUM(R47:U47)</f>
        <v>149448</v>
      </c>
      <c r="S49" s="1963"/>
      <c r="T49" s="1963"/>
      <c r="U49" s="1964"/>
      <c r="V49" s="1947">
        <f t="shared" ref="V49" si="62">SUM(V47:BE47)</f>
        <v>821964</v>
      </c>
      <c r="W49" s="1948"/>
      <c r="X49" s="1948"/>
      <c r="Y49" s="1948"/>
      <c r="Z49" s="1948"/>
      <c r="AA49" s="1948"/>
      <c r="AB49" s="1948"/>
      <c r="AC49" s="1948"/>
      <c r="AD49" s="1948"/>
      <c r="AE49" s="1948"/>
      <c r="AF49" s="1948"/>
      <c r="AG49" s="1948"/>
      <c r="AH49" s="1948"/>
      <c r="AI49" s="1948"/>
      <c r="AJ49" s="1948"/>
      <c r="AK49" s="1948"/>
      <c r="AL49" s="1948"/>
      <c r="AM49" s="1948"/>
      <c r="AN49" s="1948"/>
      <c r="AO49" s="1948"/>
      <c r="AP49" s="1948"/>
      <c r="AQ49" s="1948"/>
      <c r="AR49" s="1948"/>
      <c r="AS49" s="1948"/>
      <c r="AT49" s="1948"/>
      <c r="AU49" s="1948"/>
      <c r="AV49" s="1948"/>
      <c r="AW49" s="1948"/>
      <c r="AX49" s="1948"/>
      <c r="AY49" s="1948"/>
      <c r="AZ49" s="1948"/>
      <c r="BA49" s="1948"/>
      <c r="BB49" s="1948"/>
      <c r="BC49" s="1948"/>
      <c r="BD49" s="1948"/>
      <c r="BE49" s="1949"/>
      <c r="BF49" s="1962">
        <f t="shared" ref="BF49" si="63">SUM(BF47:BI47)</f>
        <v>0</v>
      </c>
      <c r="BG49" s="1963"/>
      <c r="BH49" s="1963"/>
      <c r="BI49" s="1964"/>
      <c r="BJ49" s="1947">
        <f t="shared" ref="BJ49" si="64">SUM(BJ47:BM47)</f>
        <v>0</v>
      </c>
      <c r="BK49" s="1948"/>
      <c r="BL49" s="1948"/>
      <c r="BM49" s="1949"/>
      <c r="BN49" s="301"/>
      <c r="BO49" s="302"/>
      <c r="BP49" s="303"/>
    </row>
    <row r="50" spans="1:68" ht="14.5" thickBot="1" x14ac:dyDescent="0.35">
      <c r="BN50" s="1952" t="s">
        <v>2047</v>
      </c>
      <c r="BO50" s="1953"/>
      <c r="BP50" s="863">
        <f>IF(H5="Fixed Price",'4. Summary &amp; Totals'!C61,'4. Summary &amp; Totals'!C45)</f>
        <v>912660</v>
      </c>
    </row>
    <row r="51" spans="1:68" x14ac:dyDescent="0.3">
      <c r="J51" s="304" t="s">
        <v>2048</v>
      </c>
      <c r="K51" s="305">
        <f>+BP33/BO33/8</f>
        <v>101.19718309859155</v>
      </c>
    </row>
    <row r="52" spans="1:68" x14ac:dyDescent="0.3">
      <c r="J52" s="306" t="s">
        <v>2049</v>
      </c>
      <c r="K52" s="307">
        <f>+BP38/BO33/8</f>
        <v>121.43661971830986</v>
      </c>
    </row>
    <row r="53" spans="1:68" ht="14.5" thickBot="1" x14ac:dyDescent="0.35">
      <c r="J53" s="308" t="s">
        <v>2050</v>
      </c>
      <c r="K53" s="309">
        <f>+BP39/BO33/8</f>
        <v>131.55633802816902</v>
      </c>
    </row>
    <row r="54" spans="1:68" ht="14.5" thickBot="1" x14ac:dyDescent="0.35"/>
    <row r="55" spans="1:68" ht="15" x14ac:dyDescent="0.3">
      <c r="J55" s="304" t="s">
        <v>2051</v>
      </c>
      <c r="K55" s="310">
        <f>(BP36-BQ33)/BP36</f>
        <v>1</v>
      </c>
      <c r="P55" s="311"/>
    </row>
    <row r="56" spans="1:68" x14ac:dyDescent="0.3">
      <c r="J56" s="306" t="s">
        <v>2052</v>
      </c>
      <c r="K56" s="312">
        <f>(BP38-BQ33)/BP38</f>
        <v>1</v>
      </c>
    </row>
    <row r="57" spans="1:68" ht="14.5" thickBot="1" x14ac:dyDescent="0.35">
      <c r="J57" s="308" t="s">
        <v>2053</v>
      </c>
      <c r="K57" s="313">
        <f>(BP39-BQ33)/BP39</f>
        <v>1</v>
      </c>
    </row>
    <row r="59" spans="1:68" ht="22.5" x14ac:dyDescent="0.45">
      <c r="A59" s="314" t="s">
        <v>76</v>
      </c>
      <c r="B59" s="315"/>
      <c r="C59" s="315"/>
      <c r="D59" s="315"/>
      <c r="E59" s="315"/>
      <c r="F59" s="315"/>
      <c r="G59" s="315"/>
      <c r="H59" s="315"/>
      <c r="I59" s="315"/>
      <c r="J59" s="315"/>
    </row>
    <row r="61" spans="1:68" ht="14.5" thickBot="1" x14ac:dyDescent="0.35"/>
    <row r="62" spans="1:68" ht="63" x14ac:dyDescent="0.3">
      <c r="A62" s="316" t="s">
        <v>2054</v>
      </c>
      <c r="B62" s="317"/>
      <c r="C62" s="317"/>
      <c r="D62" s="317"/>
      <c r="E62" s="317"/>
      <c r="F62" s="317"/>
      <c r="G62" s="318"/>
      <c r="H62" s="319"/>
      <c r="I62" s="319"/>
      <c r="J62" s="320"/>
    </row>
    <row r="63" spans="1:68" x14ac:dyDescent="0.3">
      <c r="A63" s="321"/>
      <c r="B63" s="322"/>
      <c r="C63" s="322"/>
      <c r="D63" s="322"/>
      <c r="E63" s="322"/>
      <c r="F63" s="322"/>
      <c r="G63" s="142"/>
      <c r="H63" s="142"/>
      <c r="I63" s="142"/>
      <c r="J63" s="270"/>
    </row>
    <row r="64" spans="1:68" ht="63" x14ac:dyDescent="0.3">
      <c r="A64" s="323" t="s">
        <v>2055</v>
      </c>
      <c r="B64" s="324"/>
      <c r="C64" s="324"/>
      <c r="D64" s="324"/>
      <c r="E64" s="324"/>
      <c r="F64" s="324"/>
      <c r="G64" s="325"/>
      <c r="H64" s="326"/>
      <c r="I64" s="326"/>
      <c r="J64" s="327"/>
    </row>
    <row r="65" spans="1:16" ht="63" x14ac:dyDescent="0.3">
      <c r="A65" s="323" t="s">
        <v>2056</v>
      </c>
      <c r="B65" s="324"/>
      <c r="C65" s="324"/>
      <c r="D65" s="324"/>
      <c r="E65" s="324"/>
      <c r="F65" s="324"/>
      <c r="G65" s="325"/>
      <c r="H65" s="326"/>
      <c r="I65" s="326"/>
      <c r="J65" s="327"/>
    </row>
    <row r="66" spans="1:16" ht="63" x14ac:dyDescent="0.3">
      <c r="A66" s="323" t="s">
        <v>2057</v>
      </c>
      <c r="B66" s="324"/>
      <c r="C66" s="324"/>
      <c r="D66" s="324"/>
      <c r="E66" s="324"/>
      <c r="F66" s="324"/>
      <c r="G66" s="325"/>
      <c r="H66" s="326"/>
      <c r="I66" s="326"/>
      <c r="J66" s="327"/>
    </row>
    <row r="67" spans="1:16" ht="63.5" thickBot="1" x14ac:dyDescent="0.35">
      <c r="A67" s="328" t="s">
        <v>2058</v>
      </c>
      <c r="B67" s="329"/>
      <c r="C67" s="329"/>
      <c r="D67" s="329"/>
      <c r="E67" s="329"/>
      <c r="F67" s="329"/>
      <c r="G67" s="330"/>
      <c r="H67" s="331"/>
      <c r="I67" s="331"/>
      <c r="J67" s="332"/>
      <c r="P67" s="311"/>
    </row>
    <row r="68" spans="1:16" ht="14.5" thickBot="1" x14ac:dyDescent="0.35"/>
    <row r="69" spans="1:16" ht="63" x14ac:dyDescent="0.3">
      <c r="A69" s="333" t="s">
        <v>2059</v>
      </c>
      <c r="B69" s="334"/>
      <c r="C69" s="334"/>
      <c r="D69" s="334"/>
      <c r="E69" s="334"/>
      <c r="F69" s="334"/>
      <c r="G69" s="334"/>
      <c r="H69" s="334"/>
      <c r="I69" s="334"/>
      <c r="J69" s="335"/>
    </row>
    <row r="70" spans="1:16" x14ac:dyDescent="0.3">
      <c r="A70" s="321"/>
      <c r="B70" s="322"/>
      <c r="C70" s="322"/>
      <c r="D70" s="322"/>
      <c r="E70" s="322"/>
      <c r="F70" s="322"/>
      <c r="G70" s="142"/>
      <c r="H70" s="142"/>
      <c r="I70" s="142"/>
      <c r="J70" s="270"/>
    </row>
    <row r="71" spans="1:16" ht="63" x14ac:dyDescent="0.3">
      <c r="A71" s="336" t="s">
        <v>2060</v>
      </c>
      <c r="B71" s="337"/>
      <c r="C71" s="337"/>
      <c r="D71" s="337"/>
      <c r="E71" s="337"/>
      <c r="F71" s="337"/>
      <c r="G71" s="337"/>
      <c r="H71" s="337"/>
      <c r="I71" s="337"/>
      <c r="J71" s="338"/>
    </row>
    <row r="72" spans="1:16" ht="63" x14ac:dyDescent="0.3">
      <c r="A72" s="336" t="s">
        <v>2061</v>
      </c>
      <c r="B72" s="337"/>
      <c r="C72" s="337"/>
      <c r="D72" s="337"/>
      <c r="E72" s="337"/>
      <c r="F72" s="337"/>
      <c r="G72" s="337"/>
      <c r="H72" s="337"/>
      <c r="I72" s="337"/>
      <c r="J72" s="338"/>
    </row>
    <row r="73" spans="1:16" ht="63" x14ac:dyDescent="0.3">
      <c r="A73" s="336" t="s">
        <v>2062</v>
      </c>
      <c r="B73" s="337"/>
      <c r="C73" s="337"/>
      <c r="D73" s="337"/>
      <c r="E73" s="337"/>
      <c r="F73" s="337"/>
      <c r="G73" s="337"/>
      <c r="H73" s="337"/>
      <c r="I73" s="337"/>
      <c r="J73" s="338"/>
    </row>
    <row r="74" spans="1:16" ht="63.5" thickBot="1" x14ac:dyDescent="0.35">
      <c r="A74" s="339" t="s">
        <v>2063</v>
      </c>
      <c r="B74" s="340"/>
      <c r="C74" s="340"/>
      <c r="D74" s="340"/>
      <c r="E74" s="340"/>
      <c r="F74" s="340"/>
      <c r="G74" s="340"/>
      <c r="H74" s="340"/>
      <c r="I74" s="340"/>
      <c r="J74" s="341"/>
    </row>
  </sheetData>
  <mergeCells count="104">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35:BP39 N37:BM37 BP41:BP45 N42:BM42 N47:BM47 BP50 BP15:BQ33">
    <cfRule type="expression" dxfId="94" priority="25">
      <formula>$J$1="Canada"</formula>
    </cfRule>
  </conditionalFormatting>
  <conditionalFormatting sqref="BP35:BP39 N37:BM37 BP41:BP45 N42:BM42 N47:BM47 BP50 K51:K53 BP15:BQ3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2" activePane="bottomLeft" state="frozen"/>
      <selection activeCell="G20" sqref="G20"/>
      <selection pane="bottomLeft" activeCell="C66" sqref="C66"/>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755" t="s">
        <v>0</v>
      </c>
      <c r="G2" s="1756"/>
      <c r="H2" s="1757"/>
    </row>
    <row r="3" spans="2:8" s="469" customFormat="1" ht="25" customHeight="1" x14ac:dyDescent="0.3">
      <c r="B3" s="1726" t="s">
        <v>3193</v>
      </c>
      <c r="C3" s="1726"/>
      <c r="D3" s="1726"/>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764" t="s">
        <v>2315</v>
      </c>
      <c r="C7" s="1764"/>
      <c r="D7" s="1764"/>
      <c r="E7" s="1764"/>
      <c r="F7" s="1764"/>
      <c r="G7" s="1764"/>
    </row>
    <row r="8" spans="2:8" x14ac:dyDescent="0.3">
      <c r="B8" s="1727" t="s">
        <v>3301</v>
      </c>
      <c r="C8" s="1727"/>
      <c r="D8" s="1727"/>
      <c r="E8" s="1727"/>
      <c r="F8" s="1727"/>
      <c r="G8" s="1727"/>
    </row>
    <row r="9" spans="2:8" x14ac:dyDescent="0.3">
      <c r="B9" s="1730" t="s">
        <v>3302</v>
      </c>
      <c r="C9" s="1730"/>
      <c r="D9" s="1730"/>
      <c r="E9" s="1730"/>
      <c r="F9" s="1730"/>
      <c r="G9" s="1730"/>
    </row>
    <row r="10" spans="2:8" x14ac:dyDescent="0.3">
      <c r="B10" s="1727" t="s">
        <v>3303</v>
      </c>
      <c r="C10" s="1727"/>
      <c r="D10" s="1727"/>
      <c r="E10" s="1727"/>
      <c r="F10" s="1727"/>
      <c r="G10" s="1727"/>
    </row>
    <row r="11" spans="2:8" x14ac:dyDescent="0.3">
      <c r="B11" s="1713" t="s">
        <v>3304</v>
      </c>
      <c r="C11" s="1713"/>
      <c r="D11" s="1713"/>
      <c r="E11" s="1713"/>
      <c r="F11" s="1713"/>
      <c r="G11" s="1713"/>
    </row>
    <row r="12" spans="2:8" ht="27.5" customHeight="1" x14ac:dyDescent="0.3">
      <c r="B12" s="1713" t="s">
        <v>3305</v>
      </c>
      <c r="C12" s="1713"/>
      <c r="D12" s="1713"/>
      <c r="E12" s="1713"/>
      <c r="F12" s="1713"/>
      <c r="G12" s="1713"/>
    </row>
    <row r="14" spans="2:8" ht="17.5" x14ac:dyDescent="0.3">
      <c r="B14" s="859" t="s">
        <v>2325</v>
      </c>
      <c r="C14" s="475"/>
      <c r="D14" s="475"/>
      <c r="E14" s="475"/>
      <c r="F14" s="475"/>
      <c r="G14" s="475"/>
      <c r="H14" s="475"/>
    </row>
    <row r="15" spans="2:8" ht="33.5" customHeight="1" x14ac:dyDescent="0.3">
      <c r="B15" s="1713" t="s">
        <v>3311</v>
      </c>
      <c r="C15" s="1713"/>
      <c r="D15" s="1713"/>
      <c r="E15" s="1713"/>
      <c r="F15" s="1713"/>
      <c r="G15" s="1713"/>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753" t="s">
        <v>3292</v>
      </c>
      <c r="C19" s="1754"/>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78" t="s">
        <v>3190</v>
      </c>
      <c r="C26" s="1678"/>
      <c r="D26" s="1678"/>
      <c r="E26" s="1678"/>
      <c r="F26" s="1678"/>
      <c r="G26" s="1678"/>
      <c r="H26" s="1678"/>
      <c r="I26" s="1678"/>
    </row>
    <row r="27" spans="2:9" x14ac:dyDescent="0.3">
      <c r="B27" s="1684" t="s">
        <v>3204</v>
      </c>
      <c r="C27" s="1684"/>
      <c r="D27" s="1684"/>
      <c r="E27" s="1684"/>
      <c r="F27" s="1684"/>
      <c r="G27" s="1684"/>
      <c r="H27" s="1684"/>
      <c r="I27" s="1466"/>
    </row>
    <row r="28" spans="2:9" x14ac:dyDescent="0.3">
      <c r="B28" s="1684" t="s">
        <v>3306</v>
      </c>
      <c r="C28" s="1684"/>
      <c r="D28" s="1684"/>
      <c r="E28" s="1684"/>
      <c r="F28" s="1684"/>
      <c r="G28" s="1684"/>
      <c r="H28" s="1684"/>
      <c r="I28" s="1466"/>
    </row>
    <row r="29" spans="2:9" x14ac:dyDescent="0.3">
      <c r="B29" s="1219"/>
      <c r="C29" s="1219"/>
      <c r="D29" s="1219"/>
      <c r="E29" s="1219"/>
      <c r="F29" s="1219"/>
      <c r="G29" s="1219"/>
      <c r="H29" s="1219"/>
      <c r="I29" s="1218"/>
    </row>
    <row r="30" spans="2:9" ht="19" customHeight="1" x14ac:dyDescent="0.3">
      <c r="B30" s="1634" t="s">
        <v>2265</v>
      </c>
      <c r="C30" s="1635"/>
    </row>
    <row r="31" spans="2:9" ht="19" customHeight="1" x14ac:dyDescent="0.3">
      <c r="B31" s="931" t="s">
        <v>2078</v>
      </c>
      <c r="C31" s="932">
        <f>'2. Roles &amp; Pricing'!D289</f>
        <v>862200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34" t="s">
        <v>2266</v>
      </c>
      <c r="C35" s="1635"/>
    </row>
    <row r="36" spans="2:15" ht="19" customHeight="1" x14ac:dyDescent="0.3">
      <c r="B36" s="931" t="s">
        <v>2078</v>
      </c>
      <c r="C36" s="932">
        <f>'2. Roles &amp; Pricing'!D289</f>
        <v>862200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731" t="s">
        <v>2377</v>
      </c>
      <c r="C41" s="1731"/>
      <c r="D41" s="1731"/>
      <c r="E41" s="1731"/>
      <c r="F41" s="1731"/>
      <c r="G41" s="1731"/>
      <c r="H41" s="1731"/>
      <c r="I41" s="1384"/>
    </row>
    <row r="42" spans="2:15" ht="14" customHeight="1" x14ac:dyDescent="0.3">
      <c r="B42" s="1729" t="s">
        <v>3191</v>
      </c>
      <c r="C42" s="1729"/>
      <c r="D42" s="1729"/>
      <c r="E42" s="1729"/>
      <c r="F42" s="1729"/>
      <c r="G42" s="1729"/>
      <c r="H42" s="1729"/>
      <c r="I42" s="1230"/>
    </row>
    <row r="43" spans="2:15" ht="15" customHeight="1" x14ac:dyDescent="0.3">
      <c r="B43" s="1729" t="s">
        <v>2331</v>
      </c>
      <c r="C43" s="1729"/>
      <c r="D43" s="1729"/>
      <c r="E43" s="1729"/>
      <c r="F43" s="1729"/>
      <c r="G43" s="1729"/>
      <c r="H43" s="1729"/>
    </row>
    <row r="44" spans="2:15" ht="15" customHeight="1" x14ac:dyDescent="0.3">
      <c r="B44" s="1713" t="s">
        <v>2326</v>
      </c>
      <c r="C44" s="1713"/>
      <c r="D44" s="1713"/>
      <c r="E44" s="1713"/>
      <c r="F44" s="1713"/>
      <c r="G44" s="1713"/>
      <c r="H44" s="710"/>
      <c r="J44" s="1206"/>
      <c r="K44" s="1206"/>
      <c r="L44" s="1206"/>
      <c r="M44" s="1206"/>
      <c r="N44" s="1206"/>
      <c r="O44" s="1206"/>
    </row>
    <row r="45" spans="2:15" ht="15" customHeight="1" x14ac:dyDescent="0.3">
      <c r="B45" s="1727" t="s">
        <v>3307</v>
      </c>
      <c r="C45" s="1727"/>
      <c r="D45" s="1727"/>
      <c r="E45" s="1727"/>
      <c r="F45" s="1727"/>
      <c r="G45" s="1727"/>
      <c r="H45" s="710"/>
      <c r="J45" s="1206"/>
      <c r="K45" s="1206"/>
      <c r="L45" s="1206"/>
      <c r="M45" s="1206"/>
      <c r="N45" s="1206"/>
      <c r="O45" s="1206"/>
    </row>
    <row r="46" spans="2:15" ht="29" customHeight="1" x14ac:dyDescent="0.3">
      <c r="B46" s="1727" t="s">
        <v>3205</v>
      </c>
      <c r="C46" s="1727"/>
      <c r="D46" s="1727"/>
      <c r="E46" s="1727"/>
      <c r="F46" s="1727"/>
      <c r="G46" s="1727"/>
      <c r="H46" s="1727"/>
      <c r="J46" s="1206"/>
      <c r="K46" s="1206"/>
      <c r="L46" s="1206"/>
      <c r="M46" s="1206"/>
      <c r="N46" s="1206"/>
      <c r="O46" s="1206"/>
    </row>
    <row r="47" spans="2:15" ht="15" customHeight="1" x14ac:dyDescent="0.3">
      <c r="B47" s="1728" t="s">
        <v>3192</v>
      </c>
      <c r="C47" s="1728"/>
      <c r="D47" s="1728"/>
      <c r="E47" s="1728"/>
      <c r="F47" s="1728"/>
      <c r="G47" s="1728"/>
      <c r="H47" s="710"/>
      <c r="J47" s="1206"/>
      <c r="K47" s="1206"/>
      <c r="L47" s="1206"/>
      <c r="M47" s="1206"/>
      <c r="N47" s="1206"/>
      <c r="O47" s="1206"/>
    </row>
    <row r="48" spans="2:15" x14ac:dyDescent="0.3">
      <c r="B48" s="1727" t="s">
        <v>2267</v>
      </c>
      <c r="C48" s="1727"/>
      <c r="D48" s="1727"/>
      <c r="E48" s="1727"/>
      <c r="F48" s="1727"/>
      <c r="G48" s="1727"/>
    </row>
    <row r="49" spans="2:9" x14ac:dyDescent="0.3">
      <c r="B49" s="710"/>
      <c r="C49" s="710"/>
      <c r="D49" s="710"/>
      <c r="E49" s="710"/>
      <c r="F49" s="710"/>
    </row>
    <row r="50" spans="2:9" x14ac:dyDescent="0.3">
      <c r="B50" s="1761" t="s">
        <v>2180</v>
      </c>
      <c r="C50" s="1762"/>
      <c r="D50" s="1762"/>
      <c r="E50" s="1763"/>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0.54919972164231035</v>
      </c>
      <c r="C52" s="938">
        <v>0.47</v>
      </c>
      <c r="D52" s="939">
        <f>B52-C52</f>
        <v>7.9199721642310372E-2</v>
      </c>
      <c r="E52" s="940">
        <f>'2. Roles &amp; Pricing'!D289/'2. Roles &amp; Pricing'!M289</f>
        <v>101.19718309859155</v>
      </c>
      <c r="H52" s="562"/>
    </row>
    <row r="53" spans="2:9" x14ac:dyDescent="0.3">
      <c r="B53" s="1760"/>
      <c r="C53" s="1760"/>
      <c r="D53" s="1760"/>
      <c r="E53" s="1760"/>
      <c r="F53" s="1760"/>
      <c r="G53" s="556"/>
      <c r="H53" s="556"/>
    </row>
    <row r="54" spans="2:9" x14ac:dyDescent="0.3">
      <c r="B54" s="1732" t="s">
        <v>2179</v>
      </c>
      <c r="C54" s="1733"/>
      <c r="D54" s="1733"/>
      <c r="E54" s="1733"/>
      <c r="F54" s="1733"/>
      <c r="G54" s="1733"/>
      <c r="H54" s="1733"/>
      <c r="I54" s="1734"/>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1438500</v>
      </c>
      <c r="D56" s="1231">
        <f>('4. Summary &amp; Totals'!$C$67)/(1-D55)+'4. Summary &amp; Totals'!$C$68</f>
        <v>1514131.5789473683</v>
      </c>
      <c r="E56" s="1231">
        <f>('4. Summary &amp; Totals'!$C$67)/(1-E55)+'4. Summary &amp; Totals'!$C$68</f>
        <v>1569136.3636363635</v>
      </c>
      <c r="F56" s="1231">
        <f>('4. Summary &amp; Totals'!$C$67)/(1-F55)+'4. Summary &amp; Totals'!$C$68</f>
        <v>1725900</v>
      </c>
      <c r="G56" s="1231">
        <f>('4. Summary &amp; Totals'!$C$67)/(1-G55)+'4. Summary &amp; Totals'!$C$68</f>
        <v>1917500.0000000002</v>
      </c>
      <c r="H56" s="1231" t="str">
        <f>IF(H55="Enter Test Margin %","",('4. Summary &amp; Totals'!$C$67)/(1-H55)+'4. Summary &amp; Totals'!$C$68)</f>
        <v/>
      </c>
      <c r="I56" s="1232" t="s">
        <v>3685</v>
      </c>
    </row>
    <row r="57" spans="2:9" x14ac:dyDescent="0.3">
      <c r="B57" s="945" t="s">
        <v>225</v>
      </c>
      <c r="C57" s="1233">
        <f>IFERROR(ROUNDUP((C56/'2. Roles &amp; Pricing'!$M$289),0),"")</f>
        <v>169</v>
      </c>
      <c r="D57" s="1233">
        <f>ROUNDUP(IFERROR(D56/'2. Roles &amp; Pricing'!$M$289,""),0)</f>
        <v>178</v>
      </c>
      <c r="E57" s="1233">
        <f>ROUNDUP(IFERROR(E56/'2. Roles &amp; Pricing'!$M$289,""),0)</f>
        <v>185</v>
      </c>
      <c r="F57" s="1233">
        <f>ROUNDUP(IFERROR(F56/'2. Roles &amp; Pricing'!$M$289,""),0)</f>
        <v>203</v>
      </c>
      <c r="G57" s="1233">
        <f>ROUNDUP(IFERROR(G56/'2. Roles &amp; Pricing'!$M$289,""),0)</f>
        <v>226</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749" t="s">
        <v>3308</v>
      </c>
      <c r="C60" s="1749"/>
      <c r="D60" s="1749"/>
      <c r="E60" s="1749"/>
      <c r="F60" s="1749"/>
      <c r="G60" s="1749"/>
      <c r="H60" s="1749"/>
    </row>
    <row r="61" spans="2:9" x14ac:dyDescent="0.3">
      <c r="B61" s="1685" t="s">
        <v>2330</v>
      </c>
      <c r="C61" s="1685"/>
      <c r="D61" s="1685"/>
      <c r="E61" s="1685"/>
      <c r="F61" s="1685"/>
      <c r="G61" s="1685"/>
    </row>
    <row r="62" spans="2:9" ht="15" customHeight="1" x14ac:dyDescent="0.3">
      <c r="B62" s="1216"/>
      <c r="C62" s="1213"/>
      <c r="D62" s="1213"/>
      <c r="E62" s="1213"/>
      <c r="F62" s="1213"/>
      <c r="G62" s="1213"/>
    </row>
    <row r="63" spans="2:9" x14ac:dyDescent="0.3">
      <c r="B63" s="1751" t="s">
        <v>2181</v>
      </c>
      <c r="C63" s="1752"/>
    </row>
    <row r="64" spans="2:9" x14ac:dyDescent="0.3">
      <c r="B64" s="946" t="s">
        <v>109</v>
      </c>
      <c r="C64" s="947">
        <f>'2. Roles &amp; Pricing'!D289</f>
        <v>862200</v>
      </c>
    </row>
    <row r="65" spans="2:8" x14ac:dyDescent="0.3">
      <c r="B65" s="948" t="s">
        <v>1466</v>
      </c>
      <c r="C65" s="949">
        <v>0.05</v>
      </c>
    </row>
    <row r="66" spans="2:8" x14ac:dyDescent="0.3">
      <c r="B66" s="1142" t="s">
        <v>1467</v>
      </c>
      <c r="C66" s="1143" t="s">
        <v>2170</v>
      </c>
    </row>
    <row r="67" spans="2:8" x14ac:dyDescent="0.3">
      <c r="B67" s="1464" t="s">
        <v>1468</v>
      </c>
      <c r="C67" s="1144">
        <f>IFERROR(IF(C65="Enter Discount %",C66,(C64*C65)),"")</f>
        <v>43110</v>
      </c>
    </row>
    <row r="69" spans="2:8" ht="17.5" x14ac:dyDescent="0.3">
      <c r="B69" s="859" t="s">
        <v>2332</v>
      </c>
      <c r="C69" s="563"/>
      <c r="D69" s="403"/>
      <c r="E69" s="564"/>
      <c r="F69" s="564"/>
      <c r="G69" s="564"/>
      <c r="H69" s="565"/>
    </row>
    <row r="70" spans="2:8" ht="29" customHeight="1" x14ac:dyDescent="0.3">
      <c r="B70" s="1750" t="s">
        <v>2378</v>
      </c>
      <c r="C70" s="1750"/>
      <c r="D70" s="1750"/>
      <c r="E70" s="1750"/>
      <c r="F70" s="1750"/>
      <c r="G70" s="1750"/>
      <c r="H70" s="1750"/>
    </row>
    <row r="71" spans="2:8" ht="15" customHeight="1" x14ac:dyDescent="0.3">
      <c r="B71" s="1216"/>
      <c r="C71" s="1213"/>
      <c r="D71" s="1213"/>
      <c r="E71" s="1213"/>
      <c r="F71" s="1213"/>
      <c r="G71" s="1213"/>
    </row>
    <row r="72" spans="2:8" x14ac:dyDescent="0.3">
      <c r="B72" s="1741" t="s">
        <v>2290</v>
      </c>
      <c r="C72" s="1742"/>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743">
        <f>SUMIFS($C$73:$C$76,$D$73:$D$76,"Yes")</f>
        <v>1500</v>
      </c>
      <c r="D77" s="1744"/>
    </row>
    <row r="78" spans="2:8" x14ac:dyDescent="0.3">
      <c r="B78" s="1530" t="s">
        <v>3313</v>
      </c>
      <c r="C78" s="1745">
        <f>SUMIFS($C$73:$C$76,$D$73:$D$76,"No")</f>
        <v>2000</v>
      </c>
      <c r="D78" s="1746"/>
    </row>
    <row r="79" spans="2:8" x14ac:dyDescent="0.3">
      <c r="B79" s="566"/>
      <c r="C79" s="567"/>
      <c r="D79" s="568"/>
    </row>
    <row r="80" spans="2:8" ht="17.5" x14ac:dyDescent="0.3">
      <c r="B80" s="859" t="s">
        <v>3225</v>
      </c>
      <c r="C80" s="1465"/>
      <c r="D80" s="563"/>
      <c r="E80" s="564"/>
      <c r="F80" s="564"/>
      <c r="G80" s="564"/>
    </row>
    <row r="81" spans="2:8" x14ac:dyDescent="0.3">
      <c r="B81" s="1750" t="s">
        <v>3309</v>
      </c>
      <c r="C81" s="1750"/>
      <c r="D81" s="1750"/>
      <c r="E81" s="1750"/>
      <c r="F81" s="1750"/>
      <c r="G81" s="1750"/>
      <c r="H81" s="1750"/>
    </row>
    <row r="82" spans="2:8" x14ac:dyDescent="0.3">
      <c r="B82" s="1686" t="s">
        <v>3310</v>
      </c>
      <c r="C82" s="1686"/>
      <c r="D82" s="1686"/>
      <c r="E82" s="1686"/>
      <c r="F82" s="1686"/>
      <c r="G82" s="1686"/>
    </row>
    <row r="83" spans="2:8" ht="15" customHeight="1" x14ac:dyDescent="0.3">
      <c r="B83" s="1216"/>
      <c r="C83" s="1213"/>
      <c r="D83" s="1213"/>
      <c r="E83" s="1213"/>
      <c r="F83" s="1213"/>
      <c r="G83" s="1213"/>
    </row>
    <row r="84" spans="2:8" x14ac:dyDescent="0.3">
      <c r="B84" s="1747" t="s">
        <v>221</v>
      </c>
      <c r="C84" s="1748"/>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750" t="s">
        <v>2335</v>
      </c>
      <c r="C91" s="1750"/>
      <c r="D91" s="1750"/>
      <c r="E91" s="1750"/>
      <c r="F91" s="1750"/>
      <c r="G91" s="1750"/>
      <c r="H91" s="1750"/>
    </row>
    <row r="92" spans="2:8" x14ac:dyDescent="0.3">
      <c r="B92" s="1686" t="s">
        <v>2334</v>
      </c>
      <c r="C92" s="1686"/>
      <c r="D92" s="1686"/>
      <c r="E92" s="1686"/>
      <c r="F92" s="1686"/>
      <c r="G92" s="1686"/>
    </row>
    <row r="93" spans="2:8" ht="15" customHeight="1" x14ac:dyDescent="0.3">
      <c r="B93" s="1216"/>
      <c r="C93" s="1213"/>
      <c r="D93" s="1213"/>
      <c r="E93" s="1213"/>
      <c r="F93" s="1213"/>
      <c r="G93" s="1213"/>
    </row>
    <row r="94" spans="2:8" x14ac:dyDescent="0.3">
      <c r="B94" s="1739" t="s">
        <v>214</v>
      </c>
      <c r="C94" s="1740"/>
    </row>
    <row r="95" spans="2:8" x14ac:dyDescent="0.3">
      <c r="B95" s="1735" t="s">
        <v>2169</v>
      </c>
      <c r="C95" s="1736"/>
    </row>
    <row r="96" spans="2:8" x14ac:dyDescent="0.3">
      <c r="B96" s="1737" t="s">
        <v>2169</v>
      </c>
      <c r="C96" s="1738"/>
    </row>
    <row r="97" spans="2:7" x14ac:dyDescent="0.3">
      <c r="B97" s="1737"/>
      <c r="C97" s="1738"/>
    </row>
    <row r="98" spans="2:7" x14ac:dyDescent="0.3">
      <c r="B98" s="1737"/>
      <c r="C98" s="1738"/>
    </row>
    <row r="99" spans="2:7" x14ac:dyDescent="0.3">
      <c r="B99" s="1737"/>
      <c r="C99" s="1738"/>
    </row>
    <row r="100" spans="2:7" x14ac:dyDescent="0.3">
      <c r="B100" s="1737"/>
      <c r="C100" s="1738"/>
    </row>
    <row r="101" spans="2:7" x14ac:dyDescent="0.3">
      <c r="B101" s="1737"/>
      <c r="C101" s="1738"/>
    </row>
    <row r="102" spans="2:7" x14ac:dyDescent="0.3">
      <c r="B102" s="1758"/>
      <c r="C102" s="1759"/>
    </row>
    <row r="107" spans="2:7" x14ac:dyDescent="0.3">
      <c r="B107" s="1686"/>
      <c r="C107" s="1686"/>
      <c r="D107" s="1686"/>
      <c r="E107" s="1686"/>
      <c r="F107" s="1686"/>
      <c r="G107" s="1686"/>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tabSelected="1" zoomScaleNormal="100" workbookViewId="0">
      <pane ySplit="4" topLeftCell="A45"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697"/>
      <c r="K1" s="1697"/>
      <c r="L1" s="1697"/>
    </row>
    <row r="2" spans="2:20" s="469" customFormat="1" ht="25.5" x14ac:dyDescent="0.3">
      <c r="B2" s="1765" t="s">
        <v>3196</v>
      </c>
      <c r="C2" s="1765"/>
      <c r="E2" s="622" t="s">
        <v>2241</v>
      </c>
      <c r="F2" s="738"/>
      <c r="G2" s="738"/>
      <c r="H2" s="738"/>
      <c r="K2" s="471"/>
      <c r="L2" s="471"/>
    </row>
    <row r="3" spans="2:20" s="469" customFormat="1" ht="28"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767" t="s">
        <v>3282</v>
      </c>
      <c r="C7" s="1767"/>
      <c r="D7" s="1767"/>
      <c r="E7" s="1767"/>
      <c r="F7" s="1767"/>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768" t="s">
        <v>2379</v>
      </c>
      <c r="C10" s="1768"/>
      <c r="D10" s="1768"/>
      <c r="E10" s="1768"/>
      <c r="F10" s="1768"/>
      <c r="H10" s="579"/>
    </row>
    <row r="11" spans="2:20" ht="17" customHeight="1" x14ac:dyDescent="0.3">
      <c r="B11" s="1632" t="s">
        <v>2199</v>
      </c>
      <c r="C11" s="1633"/>
      <c r="D11" s="480"/>
      <c r="E11" s="1766"/>
      <c r="F11" s="1766"/>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766"/>
      <c r="F15" s="1766"/>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Test Digital Project</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Fixed Fee</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768" t="s">
        <v>2337</v>
      </c>
      <c r="C32" s="1768"/>
      <c r="D32" s="1768"/>
      <c r="E32" s="1768"/>
      <c r="F32" s="1768"/>
      <c r="H32" s="579"/>
    </row>
    <row r="33" spans="2:20" x14ac:dyDescent="0.3">
      <c r="B33" s="1768" t="s">
        <v>3300</v>
      </c>
      <c r="C33" s="1768"/>
      <c r="D33" s="1768"/>
      <c r="E33" s="1768"/>
      <c r="F33" s="1768"/>
      <c r="G33" s="413"/>
      <c r="S33" s="581"/>
      <c r="T33" s="596"/>
    </row>
    <row r="34" spans="2:20" ht="17.5" x14ac:dyDescent="0.3">
      <c r="B34" s="1235"/>
      <c r="C34" s="599"/>
      <c r="D34" s="413"/>
      <c r="E34" s="594"/>
      <c r="F34" s="594"/>
      <c r="G34" s="413"/>
      <c r="S34" s="581"/>
      <c r="T34" s="596"/>
    </row>
    <row r="35" spans="2:20" x14ac:dyDescent="0.3">
      <c r="B35" s="1632" t="s">
        <v>3209</v>
      </c>
      <c r="C35" s="1633"/>
      <c r="D35" s="413"/>
      <c r="E35" s="594"/>
      <c r="F35" s="594"/>
      <c r="G35" s="413"/>
      <c r="S35" s="581"/>
      <c r="T35" s="596"/>
    </row>
    <row r="36" spans="2:20" x14ac:dyDescent="0.3">
      <c r="B36" s="964" t="s">
        <v>2080</v>
      </c>
      <c r="C36" s="1407">
        <f>C61</f>
        <v>912660</v>
      </c>
      <c r="D36" s="413"/>
      <c r="E36" s="594"/>
      <c r="F36" s="594"/>
      <c r="G36" s="413"/>
      <c r="S36" s="581"/>
      <c r="T36" s="596"/>
    </row>
    <row r="37" spans="2:20" x14ac:dyDescent="0.3">
      <c r="B37" s="963" t="s">
        <v>3227</v>
      </c>
      <c r="C37" s="1408">
        <f>C53</f>
        <v>0.55130354886872635</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768" t="s">
        <v>3186</v>
      </c>
      <c r="C40" s="1768"/>
      <c r="D40" s="1768"/>
      <c r="E40" s="1768"/>
      <c r="F40" s="1768"/>
      <c r="H40" s="579"/>
    </row>
    <row r="41" spans="2:20" x14ac:dyDescent="0.3">
      <c r="B41" s="1768" t="s">
        <v>3283</v>
      </c>
      <c r="C41" s="1768"/>
      <c r="D41" s="1768"/>
      <c r="E41" s="1768"/>
      <c r="F41" s="1768"/>
      <c r="G41" s="413"/>
      <c r="S41" s="581"/>
      <c r="T41" s="596"/>
    </row>
    <row r="42" spans="2:20" ht="30" customHeight="1" x14ac:dyDescent="0.3">
      <c r="B42" s="1724" t="s">
        <v>3194</v>
      </c>
      <c r="C42" s="1724"/>
      <c r="D42" s="1724"/>
      <c r="E42" s="1724"/>
      <c r="F42" s="1724"/>
      <c r="G42" s="413"/>
      <c r="S42" s="581"/>
      <c r="T42" s="596"/>
    </row>
    <row r="43" spans="2:20" ht="17.5" x14ac:dyDescent="0.3">
      <c r="B43" s="1235"/>
      <c r="C43" s="599"/>
      <c r="D43" s="413"/>
      <c r="E43" s="594"/>
      <c r="F43" s="594"/>
      <c r="G43" s="413"/>
      <c r="S43" s="581"/>
      <c r="T43" s="596"/>
    </row>
    <row r="44" spans="2:20" x14ac:dyDescent="0.3">
      <c r="B44" s="1632" t="s">
        <v>3210</v>
      </c>
      <c r="C44" s="1633"/>
      <c r="D44" s="413"/>
      <c r="E44" s="594"/>
      <c r="F44" s="594"/>
      <c r="G44" s="413"/>
      <c r="S44" s="581"/>
      <c r="T44" s="596"/>
    </row>
    <row r="45" spans="2:20" x14ac:dyDescent="0.3">
      <c r="B45" s="964" t="s">
        <v>2087</v>
      </c>
      <c r="C45" s="1409">
        <f>IF(OR(C23="T&amp;M",C23="T&amp;M NTE"),C60,C61)</f>
        <v>912660</v>
      </c>
      <c r="D45" s="413"/>
      <c r="E45" s="594"/>
      <c r="F45" s="594"/>
      <c r="G45" s="413"/>
      <c r="S45" s="581"/>
      <c r="T45" s="596"/>
    </row>
    <row r="46" spans="2:20" x14ac:dyDescent="0.3">
      <c r="B46" s="961" t="s">
        <v>2088</v>
      </c>
      <c r="C46" s="1410">
        <f>COUNTA('2. Roles &amp; Pricing'!K48:K147)</f>
        <v>7</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702" t="s">
        <v>2309</v>
      </c>
      <c r="C51" s="1702"/>
      <c r="D51" s="1702"/>
      <c r="E51" s="1702"/>
      <c r="F51" s="1702"/>
    </row>
    <row r="52" spans="2:20" ht="20" customHeight="1" x14ac:dyDescent="0.3">
      <c r="B52" s="1632" t="s">
        <v>3394</v>
      </c>
      <c r="C52" s="1633"/>
      <c r="E52" s="413"/>
      <c r="J52" s="492"/>
      <c r="K52" s="600"/>
      <c r="L52" s="492"/>
    </row>
    <row r="53" spans="2:20" x14ac:dyDescent="0.3">
      <c r="B53" s="1240" t="s">
        <v>1673</v>
      </c>
      <c r="C53" s="1412">
        <f>IFERROR((C72-C79)/C72,"")</f>
        <v>0.55130354886872635</v>
      </c>
      <c r="E53" s="413"/>
      <c r="J53" s="495"/>
      <c r="K53" s="601"/>
      <c r="L53" s="496"/>
    </row>
    <row r="54" spans="2:20" x14ac:dyDescent="0.3">
      <c r="B54" s="867" t="s">
        <v>111</v>
      </c>
      <c r="C54" s="1413">
        <f>IFERROR('2. Roles &amp; Pricing'!$D$289/'2. Roles &amp; Pricing'!M289,"")</f>
        <v>101.19718309859155</v>
      </c>
      <c r="E54" s="413"/>
      <c r="J54" s="495"/>
      <c r="K54" s="601"/>
      <c r="L54" s="496"/>
    </row>
    <row r="55" spans="2:20" x14ac:dyDescent="0.3">
      <c r="B55" s="1239" t="s">
        <v>2093</v>
      </c>
      <c r="C55" s="1414">
        <f>IFERROR(($C$71+$C$67*(1+C56)),"Enter Contingency % on Summary Inputs")</f>
        <v>912310</v>
      </c>
      <c r="E55" s="602"/>
      <c r="J55" s="495"/>
      <c r="K55" s="601"/>
      <c r="L55" s="496"/>
      <c r="T55" s="603"/>
    </row>
    <row r="56" spans="2:20" ht="14" customHeight="1" x14ac:dyDescent="0.3">
      <c r="B56" s="1567" t="s">
        <v>2079</v>
      </c>
      <c r="C56" s="1778">
        <f>'3. Financial Inputs'!C17</f>
        <v>0.05</v>
      </c>
      <c r="E56" s="484"/>
      <c r="J56" s="495"/>
      <c r="K56" s="601"/>
      <c r="L56" s="496"/>
    </row>
    <row r="57" spans="2:20" ht="14" customHeight="1" x14ac:dyDescent="0.3">
      <c r="B57" s="1568" t="s">
        <v>3414</v>
      </c>
      <c r="C57" s="1779"/>
      <c r="E57" s="484"/>
      <c r="J57" s="495"/>
      <c r="K57" s="601"/>
      <c r="L57" s="496"/>
    </row>
    <row r="58" spans="2:20" ht="14" customHeight="1" x14ac:dyDescent="0.3">
      <c r="B58" s="965" t="s">
        <v>1468</v>
      </c>
      <c r="C58" s="1415">
        <f>IF('3. Financial Inputs'!C67="",0,'3. Financial Inputs'!C67)</f>
        <v>43110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869200</v>
      </c>
      <c r="E60" s="484"/>
      <c r="J60" s="495"/>
      <c r="K60" s="601"/>
      <c r="L60" s="496"/>
      <c r="T60" s="605"/>
    </row>
    <row r="61" spans="2:20" x14ac:dyDescent="0.3">
      <c r="B61" s="1238" t="s">
        <v>2081</v>
      </c>
      <c r="C61" s="1540">
        <f>IFERROR(C60*(1+C56),"Incomplete Project Information")</f>
        <v>912660</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777" t="s">
        <v>3195</v>
      </c>
      <c r="C65" s="1777"/>
      <c r="D65" s="1542"/>
      <c r="E65" s="1542"/>
      <c r="F65" s="1542"/>
      <c r="J65" s="495"/>
      <c r="K65" s="601"/>
      <c r="L65" s="496"/>
      <c r="T65" s="605"/>
    </row>
    <row r="66" spans="2:20" ht="18" customHeight="1" x14ac:dyDescent="0.3">
      <c r="B66" s="1634" t="s">
        <v>3395</v>
      </c>
      <c r="C66" s="1635"/>
      <c r="D66" s="413"/>
      <c r="E66" s="413"/>
      <c r="J66" s="495"/>
      <c r="K66" s="601"/>
      <c r="L66" s="496"/>
      <c r="T66" s="605"/>
    </row>
    <row r="67" spans="2:20" ht="18" customHeight="1" x14ac:dyDescent="0.3">
      <c r="B67" s="966" t="s">
        <v>3320</v>
      </c>
      <c r="C67" s="1417">
        <f>IFERROR('2. Roles &amp; Pricing'!D289,0)</f>
        <v>862200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43110</v>
      </c>
      <c r="D69" s="413"/>
      <c r="E69" s="413"/>
      <c r="J69" s="495"/>
      <c r="K69" s="601"/>
      <c r="L69" s="496"/>
      <c r="T69" s="605"/>
    </row>
    <row r="70" spans="2:20" ht="18" customHeight="1" x14ac:dyDescent="0.3">
      <c r="B70" s="969" t="s">
        <v>1468</v>
      </c>
      <c r="C70" s="1420">
        <f>-1*'3. Financial Inputs'!C67</f>
        <v>-43110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870700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777" t="s">
        <v>3195</v>
      </c>
      <c r="C75" s="1777"/>
      <c r="D75" s="1542"/>
      <c r="E75" s="1542"/>
      <c r="F75" s="1542"/>
      <c r="J75" s="495"/>
      <c r="K75" s="601"/>
      <c r="L75" s="496"/>
    </row>
    <row r="76" spans="2:20" x14ac:dyDescent="0.3">
      <c r="B76" s="1634" t="s">
        <v>3316</v>
      </c>
      <c r="C76" s="1635"/>
      <c r="D76" s="413"/>
      <c r="E76" s="413"/>
      <c r="J76" s="495"/>
      <c r="K76" s="601"/>
      <c r="L76" s="496"/>
    </row>
    <row r="77" spans="2:20" x14ac:dyDescent="0.3">
      <c r="B77" s="967" t="s">
        <v>239</v>
      </c>
      <c r="C77" s="1418">
        <f>SUM('2. Roles &amp; Pricing'!$F$291:$F$390)</f>
        <v>388680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390680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776"/>
      <c r="C83" s="1776"/>
      <c r="D83" s="1776"/>
      <c r="E83" s="1776"/>
      <c r="F83" s="1776"/>
      <c r="L83" s="412"/>
    </row>
    <row r="84" spans="2:12" x14ac:dyDescent="0.3">
      <c r="B84" s="1769" t="s">
        <v>188</v>
      </c>
      <c r="C84" s="1770"/>
      <c r="E84" s="429"/>
      <c r="L84" s="412"/>
    </row>
    <row r="85" spans="2:12" x14ac:dyDescent="0.3">
      <c r="B85" s="1148" t="s">
        <v>190</v>
      </c>
      <c r="C85" s="1463">
        <f>IFERROR((SUMIF('2. Roles &amp; Pricing'!W48:W147,"Offshore",'2. Roles &amp; Pricing'!D291:D390))/SUMIF('2. Roles &amp; Pricing'!W48:W147,"Offshore",'2. Roles &amp; Pricing'!M291:M390),"")</f>
        <v>71.36363636363636</v>
      </c>
      <c r="E85" s="429"/>
      <c r="L85" s="412"/>
    </row>
    <row r="86" spans="2:12" x14ac:dyDescent="0.3">
      <c r="B86" s="1149" t="s">
        <v>191</v>
      </c>
      <c r="C86" s="1422">
        <f>IFERROR((SUMIF('2. Roles &amp; Pricing'!W48:W147,"Onshore",'2. Roles &amp; Pricing'!D291:D390))/SUMIF('2. Roles &amp; Pricing'!W48:W147,"Onshore",'2. Roles &amp; Pricing'!M291:M390),"")</f>
        <v>172.5</v>
      </c>
      <c r="E86" s="429"/>
      <c r="L86" s="412"/>
    </row>
    <row r="87" spans="2:12" x14ac:dyDescent="0.3">
      <c r="B87" s="1149" t="s">
        <v>192</v>
      </c>
      <c r="C87" s="1423">
        <f>IFERROR((COUNTIF('2. Roles &amp; Pricing'!W48:W147,"Offshore")/SUM(COUNTIF('2. Roles &amp; Pricing'!W48:W147,"Onshore"),COUNTIF('2. Roles &amp; Pricing'!W48:W147,"Offshore"))),"")</f>
        <v>0.5714285714285714</v>
      </c>
      <c r="E87" s="429"/>
      <c r="L87" s="412"/>
    </row>
    <row r="88" spans="2:12" x14ac:dyDescent="0.3">
      <c r="B88" s="1149" t="s">
        <v>111</v>
      </c>
      <c r="C88" s="1422">
        <f>IFERROR('2. Roles &amp; Pricing'!D289/'2. Roles &amp; Pricing'!M289,"")</f>
        <v>101.19718309859155</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7</v>
      </c>
      <c r="E93" s="429"/>
      <c r="L93" s="412"/>
    </row>
    <row r="94" spans="2:12" x14ac:dyDescent="0.3">
      <c r="E94" s="429"/>
      <c r="L94" s="412"/>
    </row>
    <row r="95" spans="2:12" x14ac:dyDescent="0.3">
      <c r="E95" s="429"/>
      <c r="L95" s="412"/>
    </row>
    <row r="96" spans="2:12" x14ac:dyDescent="0.3">
      <c r="B96" s="1634" t="s">
        <v>199</v>
      </c>
      <c r="C96" s="1775"/>
      <c r="D96" s="1775"/>
      <c r="E96" s="1775"/>
      <c r="F96" s="1635"/>
      <c r="H96" s="1774"/>
      <c r="I96" s="1774"/>
      <c r="J96" s="1774"/>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862200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771" t="s">
        <v>226</v>
      </c>
      <c r="C107" s="1772"/>
      <c r="D107" s="1773"/>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4920</v>
      </c>
      <c r="D111" s="1447">
        <f>IFERROR(C111/'2. Roles &amp; Pricing'!$M$289,"")</f>
        <v>0.57746478873239437</v>
      </c>
      <c r="E111" s="612"/>
      <c r="F111" s="613"/>
      <c r="H111" s="458"/>
      <c r="I111" s="496"/>
      <c r="J111" s="508"/>
    </row>
    <row r="112" spans="2:10" x14ac:dyDescent="0.3">
      <c r="B112" s="978" t="s">
        <v>114</v>
      </c>
      <c r="C112" s="1446">
        <f>IFERROR(SUMIF('2. Roles &amp; Pricing'!$N$48:$N$147,3,'2. Roles &amp; Pricing'!$M$291:$M$390),"")</f>
        <v>1200</v>
      </c>
      <c r="D112" s="1447">
        <f>IFERROR(C112/'2. Roles &amp; Pricing'!$M$289,"")</f>
        <v>0.14084507042253522</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1200</v>
      </c>
      <c r="D114" s="1447">
        <f>IFERROR(C114/'2. Roles &amp; Pricing'!$M$289,"")</f>
        <v>0.14084507042253522</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780" t="s">
        <v>2304</v>
      </c>
      <c r="D3" s="1780"/>
      <c r="E3" s="735" t="str">
        <f>'2. Roles &amp; Pricing'!L3</f>
        <v>ROPE Ready for Upload</v>
      </c>
    </row>
    <row r="4" spans="1:150" s="469" customFormat="1" ht="13" customHeight="1" x14ac:dyDescent="0.3">
      <c r="C4" s="1780"/>
      <c r="D4" s="1780"/>
    </row>
    <row r="5" spans="1:150" s="526" customFormat="1" ht="7" customHeight="1" x14ac:dyDescent="0.3"/>
    <row r="6" spans="1:150" ht="17.5" x14ac:dyDescent="0.3">
      <c r="C6" s="740" t="s">
        <v>2</v>
      </c>
      <c r="D6" s="403"/>
      <c r="E6" s="403"/>
    </row>
    <row r="7" spans="1:150" x14ac:dyDescent="0.3">
      <c r="C7" s="1785" t="s">
        <v>3284</v>
      </c>
      <c r="D7" s="1785"/>
      <c r="E7" s="1785"/>
    </row>
    <row r="8" spans="1:150" x14ac:dyDescent="0.3">
      <c r="C8" s="1786" t="s">
        <v>3285</v>
      </c>
      <c r="D8" s="1786"/>
      <c r="E8" s="1786"/>
    </row>
    <row r="9" spans="1:150" x14ac:dyDescent="0.3">
      <c r="C9" s="1786" t="s">
        <v>3286</v>
      </c>
      <c r="D9" s="1786"/>
      <c r="E9" s="1786"/>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34" t="s">
        <v>2161</v>
      </c>
      <c r="D13" s="1635"/>
    </row>
    <row r="14" spans="1:150" ht="24.5" customHeight="1" x14ac:dyDescent="0.3">
      <c r="C14" s="1781" t="str">
        <f>IF(COUNTIF(B21:B99,"FAIL")&gt;0,"ROPE Not Ready for Upload","ROPE Ready for Upload")</f>
        <v>ROPE Ready for Upload</v>
      </c>
      <c r="D14" s="1783" t="str">
        <f>IF(C14="ROPE Not Ready for Upload","Please see below list to determine what inputs are needed for your ROPE to upload successfully","")</f>
        <v/>
      </c>
    </row>
    <row r="15" spans="1:150" ht="30.5" customHeight="1" x14ac:dyDescent="0.3">
      <c r="C15" s="1782"/>
      <c r="D15" s="1784"/>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34" t="s">
        <v>2182</v>
      </c>
      <c r="D19" s="1775"/>
      <c r="E19" s="1635"/>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7265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699" t="s">
        <v>0</v>
      </c>
      <c r="J2" s="1703"/>
      <c r="K2" s="1843"/>
      <c r="L2" s="622" t="s">
        <v>2241</v>
      </c>
      <c r="P2" s="745"/>
      <c r="Q2" s="745"/>
      <c r="R2" s="469"/>
      <c r="S2" s="469"/>
    </row>
    <row r="3" spans="2:19" s="744" customFormat="1" ht="42" x14ac:dyDescent="0.3">
      <c r="B3" s="1850" t="s">
        <v>2305</v>
      </c>
      <c r="C3" s="1850"/>
      <c r="D3" s="1850"/>
      <c r="E3" s="1850"/>
      <c r="F3" s="1850"/>
      <c r="G3" s="1850"/>
      <c r="H3" s="1851"/>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855" t="s">
        <v>3684</v>
      </c>
      <c r="C6" s="1855"/>
      <c r="D6" s="1855"/>
      <c r="E6" s="1597"/>
      <c r="F6" s="1597"/>
      <c r="J6" s="1598"/>
      <c r="P6" s="852"/>
      <c r="Q6" s="852"/>
    </row>
    <row r="7" spans="2:19" s="407" customFormat="1" ht="15" customHeight="1" x14ac:dyDescent="0.3">
      <c r="B7" s="1853" t="s">
        <v>3686</v>
      </c>
      <c r="C7" s="1853"/>
      <c r="D7" s="1853"/>
      <c r="E7" s="1853"/>
      <c r="F7" s="1853"/>
      <c r="G7" s="1853"/>
      <c r="H7" s="1853"/>
      <c r="I7" s="1853"/>
      <c r="J7" s="1853"/>
      <c r="P7" s="852"/>
      <c r="Q7" s="852"/>
      <c r="R7" s="406"/>
      <c r="S7" s="406"/>
    </row>
    <row r="8" spans="2:19" s="407" customFormat="1" ht="26" customHeight="1" x14ac:dyDescent="0.3">
      <c r="B8" s="1853"/>
      <c r="C8" s="1853"/>
      <c r="D8" s="1853"/>
      <c r="E8" s="1853"/>
      <c r="F8" s="1853"/>
      <c r="G8" s="1853"/>
      <c r="H8" s="1853"/>
      <c r="I8" s="1853"/>
      <c r="J8" s="1853"/>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854" t="s">
        <v>3284</v>
      </c>
      <c r="C11" s="1854"/>
      <c r="D11" s="1854"/>
      <c r="E11" s="444"/>
      <c r="F11" s="444"/>
    </row>
    <row r="12" spans="2:19" x14ac:dyDescent="0.3">
      <c r="B12" s="1852" t="s">
        <v>2288</v>
      </c>
      <c r="C12" s="1800"/>
      <c r="D12" s="1800"/>
      <c r="E12" s="1800"/>
      <c r="F12" s="1801"/>
      <c r="G12" s="1551"/>
      <c r="H12" s="1551"/>
      <c r="I12" s="1551"/>
      <c r="J12" s="1551"/>
    </row>
    <row r="13" spans="2:19" s="411" customFormat="1" x14ac:dyDescent="0.3">
      <c r="B13" s="873" t="s">
        <v>1304</v>
      </c>
      <c r="C13" s="1841" t="str">
        <f>'1. Project Inputs'!C18</f>
        <v>C Spire</v>
      </c>
      <c r="D13" s="1841"/>
      <c r="E13" s="1841"/>
      <c r="F13" s="1842"/>
      <c r="M13" s="1834"/>
      <c r="N13" s="1834"/>
      <c r="P13" s="632"/>
      <c r="Q13" s="632"/>
      <c r="R13" s="395"/>
      <c r="S13" s="395"/>
    </row>
    <row r="14" spans="2:19" s="411" customFormat="1" x14ac:dyDescent="0.3">
      <c r="B14" s="869" t="s">
        <v>1886</v>
      </c>
      <c r="C14" s="1835" t="s">
        <v>4</v>
      </c>
      <c r="D14" s="1835"/>
      <c r="E14" s="1835"/>
      <c r="F14" s="1836"/>
      <c r="M14" s="476"/>
      <c r="N14" s="476"/>
      <c r="O14" s="632"/>
      <c r="P14" s="395"/>
      <c r="Q14" s="395"/>
    </row>
    <row r="15" spans="2:19" s="411" customFormat="1" x14ac:dyDescent="0.3">
      <c r="B15" s="869" t="s">
        <v>1888</v>
      </c>
      <c r="C15" s="1835" t="s">
        <v>4</v>
      </c>
      <c r="D15" s="1835"/>
      <c r="E15" s="1835"/>
      <c r="F15" s="1836"/>
      <c r="M15" s="476"/>
      <c r="N15" s="476"/>
      <c r="P15" s="632"/>
      <c r="Q15" s="632"/>
      <c r="R15" s="395"/>
      <c r="S15" s="395"/>
    </row>
    <row r="16" spans="2:19" s="411" customFormat="1" x14ac:dyDescent="0.3">
      <c r="B16" s="869" t="s">
        <v>22</v>
      </c>
      <c r="C16" s="1837" t="str">
        <f>'1. Project Inputs'!C23</f>
        <v>Test Digital Project</v>
      </c>
      <c r="D16" s="1837"/>
      <c r="E16" s="1837"/>
      <c r="F16" s="1838"/>
      <c r="M16" s="476"/>
      <c r="N16" s="476"/>
      <c r="P16" s="632"/>
      <c r="Q16" s="632"/>
      <c r="R16" s="395"/>
      <c r="S16" s="395"/>
    </row>
    <row r="17" spans="2:19" s="411" customFormat="1" x14ac:dyDescent="0.3">
      <c r="B17" s="869" t="s">
        <v>23</v>
      </c>
      <c r="C17" s="1839" t="str">
        <f>'1. Project Inputs'!C24</f>
        <v>Digital - Systems Implementation</v>
      </c>
      <c r="D17" s="1839"/>
      <c r="E17" s="1839"/>
      <c r="F17" s="1840"/>
      <c r="P17" s="632"/>
      <c r="Q17" s="632"/>
      <c r="R17" s="395"/>
      <c r="S17" s="395"/>
    </row>
    <row r="18" spans="2:19" s="411" customFormat="1" x14ac:dyDescent="0.3">
      <c r="B18" s="869" t="s">
        <v>49</v>
      </c>
      <c r="C18" s="1839" t="str">
        <f>'1. Project Inputs'!C25</f>
        <v>Standard Rates</v>
      </c>
      <c r="D18" s="1839"/>
      <c r="E18" s="1839"/>
      <c r="F18" s="1840"/>
      <c r="P18" s="632"/>
      <c r="Q18" s="632"/>
      <c r="R18" s="395"/>
      <c r="S18" s="395"/>
    </row>
    <row r="19" spans="2:19" s="411" customFormat="1" x14ac:dyDescent="0.3">
      <c r="B19" s="869" t="s">
        <v>1890</v>
      </c>
      <c r="C19" s="1844">
        <f>'1. Project Inputs'!C27</f>
        <v>45916</v>
      </c>
      <c r="D19" s="1844"/>
      <c r="E19" s="1844"/>
      <c r="F19" s="1845"/>
      <c r="P19" s="632"/>
      <c r="Q19" s="632"/>
      <c r="R19" s="395"/>
      <c r="S19" s="395"/>
    </row>
    <row r="20" spans="2:19" s="411" customFormat="1" x14ac:dyDescent="0.3">
      <c r="B20" s="876" t="s">
        <v>50</v>
      </c>
      <c r="C20" s="1846">
        <f>'1. Project Inputs'!C29</f>
        <v>30</v>
      </c>
      <c r="D20" s="1847"/>
      <c r="E20" s="1847"/>
      <c r="F20" s="1848"/>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849" t="s">
        <v>2394</v>
      </c>
      <c r="C23" s="1849"/>
      <c r="D23" s="1849"/>
      <c r="E23" s="1849"/>
      <c r="F23" s="1849"/>
      <c r="G23" s="1849"/>
      <c r="H23" s="1849"/>
      <c r="I23" s="1849"/>
      <c r="J23" s="1849"/>
    </row>
    <row r="24" spans="2:19" ht="22" customHeight="1" x14ac:dyDescent="0.3">
      <c r="B24" s="2041" t="s">
        <v>2370</v>
      </c>
      <c r="C24" s="2042" t="s">
        <v>1892</v>
      </c>
      <c r="D24" s="2043"/>
      <c r="E24" s="2043"/>
      <c r="F24" s="2043"/>
      <c r="G24" s="2043"/>
      <c r="H24" s="2044"/>
      <c r="I24" s="2045" t="s">
        <v>3682</v>
      </c>
      <c r="J24" s="2045" t="s">
        <v>1893</v>
      </c>
      <c r="K24" s="2046"/>
      <c r="L24" s="2047"/>
      <c r="S24" s="754"/>
    </row>
    <row r="25" spans="2:19" ht="22" customHeight="1" x14ac:dyDescent="0.3">
      <c r="B25" s="1605" t="s">
        <v>1894</v>
      </c>
      <c r="C25" s="1832"/>
      <c r="D25" s="1832"/>
      <c r="E25" s="1832"/>
      <c r="F25" s="1832"/>
      <c r="G25" s="1593"/>
      <c r="H25" s="1593"/>
      <c r="I25" s="1593"/>
      <c r="J25" s="1593"/>
      <c r="K25" s="1593"/>
      <c r="L25" s="1606"/>
      <c r="S25" s="412"/>
    </row>
    <row r="26" spans="2:19" ht="20" customHeight="1" x14ac:dyDescent="0.3">
      <c r="B26" s="998" t="s">
        <v>109</v>
      </c>
      <c r="C26" s="1874">
        <f>'4. Summary &amp; Totals'!C61</f>
        <v>912660</v>
      </c>
      <c r="D26" s="1875"/>
      <c r="E26" s="1875"/>
      <c r="F26" s="1875"/>
      <c r="G26" s="1875"/>
      <c r="H26" s="1876"/>
      <c r="I26" s="1601"/>
      <c r="J26" s="1887"/>
      <c r="K26" s="1887"/>
      <c r="L26" s="1888"/>
    </row>
    <row r="27" spans="2:19" ht="20" customHeight="1" x14ac:dyDescent="0.3">
      <c r="B27" s="999" t="s">
        <v>1673</v>
      </c>
      <c r="C27" s="1877">
        <f>'4. Summary &amp; Totals'!C37</f>
        <v>0.55130354886872635</v>
      </c>
      <c r="D27" s="1878"/>
      <c r="E27" s="1878"/>
      <c r="F27" s="1878"/>
      <c r="G27" s="1878"/>
      <c r="H27" s="1879"/>
      <c r="I27" s="1599"/>
      <c r="J27" s="1869"/>
      <c r="K27" s="1869"/>
      <c r="L27" s="1870"/>
    </row>
    <row r="28" spans="2:19" ht="20" customHeight="1" x14ac:dyDescent="0.3">
      <c r="B28" s="999" t="s">
        <v>3400</v>
      </c>
      <c r="C28" s="1880" t="s">
        <v>3687</v>
      </c>
      <c r="D28" s="1881"/>
      <c r="E28" s="1881"/>
      <c r="F28" s="1881"/>
      <c r="G28" s="1881"/>
      <c r="H28" s="1882"/>
      <c r="I28" s="1599"/>
      <c r="J28" s="1869"/>
      <c r="K28" s="1869"/>
      <c r="L28" s="1870"/>
    </row>
    <row r="29" spans="2:19" ht="20" customHeight="1" x14ac:dyDescent="0.3">
      <c r="B29" s="1547"/>
      <c r="C29" s="1883" t="s">
        <v>1895</v>
      </c>
      <c r="D29" s="1884"/>
      <c r="E29" s="1884"/>
      <c r="F29" s="1885"/>
      <c r="G29" s="1883" t="s">
        <v>1896</v>
      </c>
      <c r="H29" s="1886"/>
      <c r="I29" s="1600"/>
      <c r="J29" s="1869"/>
      <c r="K29" s="1869"/>
      <c r="L29" s="1870"/>
    </row>
    <row r="30" spans="2:19" ht="20" customHeight="1" x14ac:dyDescent="0.3">
      <c r="B30" s="999" t="s">
        <v>1897</v>
      </c>
      <c r="C30" s="1791">
        <f>'4. Summary &amp; Totals'!C54</f>
        <v>101.19718309859155</v>
      </c>
      <c r="D30" s="1792"/>
      <c r="E30" s="1792"/>
      <c r="F30" s="1793"/>
      <c r="G30" s="1787">
        <f>'2. Roles &amp; Pricing'!F289/'2. Roles &amp; Pricing'!M289</f>
        <v>45.619718309859152</v>
      </c>
      <c r="H30" s="1788"/>
      <c r="I30" s="1599" t="str">
        <f>IF(OR(C30="",E30=""),"MISSING INFO","")</f>
        <v>MISSING INFO</v>
      </c>
      <c r="J30" s="1869"/>
      <c r="K30" s="1869"/>
      <c r="L30" s="1870"/>
    </row>
    <row r="31" spans="2:19" ht="20" customHeight="1" x14ac:dyDescent="0.3">
      <c r="B31" s="999" t="s">
        <v>1898</v>
      </c>
      <c r="C31" s="1791">
        <f>'4. Summary &amp; Totals'!C86</f>
        <v>172.5</v>
      </c>
      <c r="D31" s="1792"/>
      <c r="E31" s="1792"/>
      <c r="F31" s="1793"/>
      <c r="G31" s="1787">
        <f>SUMIFS('2. Roles &amp; Pricing'!$F$291:$F$390,'2. Roles &amp; Pricing'!$W$48:$W$147,"Onshore")/SUMIFS('2. Roles &amp; Pricing'!$M$291:$M$390,'2. Roles &amp; Pricing'!$W$48:$W$147,"Onshore")</f>
        <v>80</v>
      </c>
      <c r="H31" s="1788"/>
      <c r="I31" s="1599" t="str">
        <f>IF(OR(C31="",E31=""),"MISSING INFO","")</f>
        <v>MISSING INFO</v>
      </c>
      <c r="J31" s="1869"/>
      <c r="K31" s="1869"/>
      <c r="L31" s="1870"/>
    </row>
    <row r="32" spans="2:19" ht="20" customHeight="1" x14ac:dyDescent="0.3">
      <c r="B32" s="1000" t="s">
        <v>1899</v>
      </c>
      <c r="C32" s="1794">
        <f>'4. Summary &amp; Totals'!C85</f>
        <v>71.36363636363636</v>
      </c>
      <c r="D32" s="1795"/>
      <c r="E32" s="1795"/>
      <c r="F32" s="1796"/>
      <c r="G32" s="1789">
        <f>IFERROR(SUMIFS('2. Roles &amp; Pricing'!$F$291:$F$390,'2. Roles &amp; Pricing'!$W$48:$W$147,"Offshore")/SUMIFS('2. Roles &amp; Pricing'!$M$291:$M$390,'2. Roles &amp; Pricing'!$W$48:$W$147,"Offshore"),"")</f>
        <v>30.272727272727273</v>
      </c>
      <c r="H32" s="1790"/>
      <c r="I32" s="1602"/>
      <c r="J32" s="1797"/>
      <c r="K32" s="1797"/>
      <c r="L32" s="1798"/>
    </row>
    <row r="33" spans="2:12" x14ac:dyDescent="0.3">
      <c r="B33" s="1001"/>
      <c r="C33" s="1001"/>
      <c r="D33" s="1001"/>
      <c r="E33" s="1001"/>
      <c r="F33" s="1001"/>
      <c r="G33" s="1002"/>
      <c r="H33" s="1003"/>
      <c r="I33" s="1003"/>
      <c r="J33" s="1003"/>
    </row>
    <row r="34" spans="2:12" ht="22" customHeight="1" x14ac:dyDescent="0.3">
      <c r="B34" s="1813" t="s">
        <v>1900</v>
      </c>
      <c r="C34" s="1822"/>
      <c r="D34" s="1822"/>
      <c r="E34" s="1822"/>
      <c r="F34" s="1822"/>
      <c r="G34" s="1822"/>
      <c r="H34" s="1822"/>
      <c r="I34" s="1833"/>
      <c r="J34" s="1799"/>
      <c r="K34" s="1800"/>
      <c r="L34" s="1801"/>
    </row>
    <row r="35" spans="2:12" ht="22" customHeight="1" x14ac:dyDescent="0.3">
      <c r="B35" s="1603" t="s">
        <v>1901</v>
      </c>
      <c r="C35" s="1826" t="str">
        <f>'1. Project Inputs'!C28</f>
        <v>Fixed Fee</v>
      </c>
      <c r="D35" s="1827"/>
      <c r="E35" s="1827"/>
      <c r="F35" s="1827"/>
      <c r="G35" s="1827"/>
      <c r="H35" s="1828"/>
      <c r="I35" s="1604" t="str">
        <f>IFERROR(IF(VLOOKUP(C35,P75:R78,3,0)=0,"",VLOOKUP(C35,P75:R78,3,0)),"MISSING INFO")</f>
        <v>MISSING INFO</v>
      </c>
      <c r="J35" s="1802"/>
      <c r="K35" s="1803"/>
      <c r="L35" s="1804"/>
    </row>
    <row r="36" spans="2:12" ht="22" customHeight="1" x14ac:dyDescent="0.3">
      <c r="B36" s="1000" t="s">
        <v>1902</v>
      </c>
      <c r="C36" s="1829">
        <f>'4. Summary &amp; Totals'!C56</f>
        <v>0.05</v>
      </c>
      <c r="D36" s="1830"/>
      <c r="E36" s="1830"/>
      <c r="F36" s="1830"/>
      <c r="G36" s="1830"/>
      <c r="H36" s="1831"/>
      <c r="I36" s="1004" t="str">
        <f>IF(C36="","MISSING INFO",IFERROR(IF(C36&lt;VLOOKUP(C35,P75:Q78,2,0),"&lt;"&amp;TEXT(VLOOKUP(C35,P75:Q78,2,0),"0%"),""),"MISSING INFO"))</f>
        <v>MISSING INFO</v>
      </c>
      <c r="J36" s="1865"/>
      <c r="K36" s="1866"/>
      <c r="L36" s="1867"/>
    </row>
    <row r="37" spans="2:12" x14ac:dyDescent="0.3">
      <c r="B37" s="751"/>
      <c r="C37" s="751"/>
      <c r="D37" s="751"/>
      <c r="E37" s="751"/>
      <c r="F37" s="751"/>
      <c r="G37" s="752"/>
      <c r="H37" s="753"/>
      <c r="I37" s="753"/>
      <c r="J37" s="753"/>
    </row>
    <row r="38" spans="2:12" ht="24" customHeight="1" x14ac:dyDescent="0.3">
      <c r="B38" s="1889" t="s">
        <v>1903</v>
      </c>
      <c r="C38" s="1890"/>
      <c r="D38" s="1890"/>
      <c r="E38" s="1890"/>
      <c r="F38" s="1890"/>
      <c r="G38" s="1890"/>
      <c r="H38" s="1890"/>
      <c r="I38" s="1890"/>
      <c r="J38" s="1890"/>
      <c r="K38" s="1890"/>
      <c r="L38" s="1815"/>
    </row>
    <row r="39" spans="2:12" ht="25" customHeight="1" x14ac:dyDescent="0.3">
      <c r="B39" s="998" t="s">
        <v>1904</v>
      </c>
      <c r="C39" s="1892">
        <f>COUNTA('2. Roles &amp; Pricing'!$K$48:$K$147)</f>
        <v>7</v>
      </c>
      <c r="D39" s="1893"/>
      <c r="E39" s="1893"/>
      <c r="F39" s="1893"/>
      <c r="G39" s="1893"/>
      <c r="H39" s="1894"/>
      <c r="I39" s="1005" t="str">
        <f>IF(G39="","MISSING INFO","")</f>
        <v>MISSING INFO</v>
      </c>
      <c r="J39" s="1901"/>
      <c r="K39" s="1887"/>
      <c r="L39" s="1888"/>
    </row>
    <row r="40" spans="2:12" ht="30" customHeight="1" x14ac:dyDescent="0.3">
      <c r="B40" s="999" t="s">
        <v>1905</v>
      </c>
      <c r="C40" s="1895" t="s">
        <v>216</v>
      </c>
      <c r="D40" s="1896"/>
      <c r="E40" s="1896"/>
      <c r="F40" s="1896"/>
      <c r="G40" s="1896"/>
      <c r="H40" s="1897"/>
      <c r="I40" s="997" t="str">
        <f>IFERROR(IF(VLOOKUP(C40,P82:R83,3,0)=0,"",VLOOKUP(C40,P82:R83,3,0)),"MISSING INFO")</f>
        <v>MISSING INFO</v>
      </c>
      <c r="J40" s="1868"/>
      <c r="K40" s="1869"/>
      <c r="L40" s="1870"/>
    </row>
    <row r="41" spans="2:12" ht="14.5" customHeight="1" x14ac:dyDescent="0.3">
      <c r="B41" s="999" t="s">
        <v>1907</v>
      </c>
      <c r="C41" s="1898" t="str">
        <f>IF(SUM(G42:G49)&lt;&gt;0,SUM(G42:G49),"")</f>
        <v/>
      </c>
      <c r="D41" s="1899"/>
      <c r="E41" s="1899"/>
      <c r="F41" s="1899"/>
      <c r="G41" s="1899"/>
      <c r="H41" s="1900"/>
      <c r="I41" s="997" t="str">
        <f>IF(H41="","MISSING INFO",IF(H41&lt;Q85,"&lt;"&amp;TEXT(Q85,"0%"),""))</f>
        <v>MISSING INFO</v>
      </c>
      <c r="J41" s="1868"/>
      <c r="K41" s="1869"/>
      <c r="L41" s="1870"/>
    </row>
    <row r="42" spans="2:12" x14ac:dyDescent="0.3">
      <c r="B42" s="1006"/>
      <c r="C42" s="1807" t="s">
        <v>3401</v>
      </c>
      <c r="D42" s="1808"/>
      <c r="E42" s="1809" t="s">
        <v>119</v>
      </c>
      <c r="F42" s="1810"/>
      <c r="G42" s="1811" t="s">
        <v>1929</v>
      </c>
      <c r="H42" s="1812"/>
      <c r="I42" s="1555"/>
      <c r="J42" s="1868"/>
      <c r="K42" s="1869"/>
      <c r="L42" s="1870"/>
    </row>
    <row r="43" spans="2:12" ht="21" customHeight="1" x14ac:dyDescent="0.3">
      <c r="B43" s="1006"/>
      <c r="C43" s="1557" t="s">
        <v>2101</v>
      </c>
      <c r="D43" s="1557" t="s">
        <v>3402</v>
      </c>
      <c r="E43" s="1557" t="s">
        <v>2101</v>
      </c>
      <c r="F43" s="1557" t="s">
        <v>3402</v>
      </c>
      <c r="G43" s="1557" t="s">
        <v>2101</v>
      </c>
      <c r="H43" s="1557" t="s">
        <v>3402</v>
      </c>
      <c r="I43" s="1555"/>
      <c r="J43" s="1868"/>
      <c r="K43" s="1869"/>
      <c r="L43" s="1870"/>
    </row>
    <row r="44" spans="2:12" ht="21" customHeight="1" x14ac:dyDescent="0.3">
      <c r="B44" s="999" t="s">
        <v>1908</v>
      </c>
      <c r="C44" s="1557"/>
      <c r="D44" s="1557"/>
      <c r="E44" s="1557"/>
      <c r="F44" s="1557"/>
      <c r="G44" s="1557"/>
      <c r="H44" s="1557"/>
      <c r="I44" s="1555"/>
      <c r="J44" s="1868"/>
      <c r="K44" s="1869"/>
      <c r="L44" s="1870"/>
    </row>
    <row r="45" spans="2:12" ht="21" customHeight="1" x14ac:dyDescent="0.3">
      <c r="B45" s="999" t="s">
        <v>3403</v>
      </c>
      <c r="C45" s="1557"/>
      <c r="D45" s="1557"/>
      <c r="E45" s="1557"/>
      <c r="F45" s="1557"/>
      <c r="G45" s="1557"/>
      <c r="H45" s="1557"/>
      <c r="I45" s="1555"/>
      <c r="J45" s="1868"/>
      <c r="K45" s="1869"/>
      <c r="L45" s="1870"/>
    </row>
    <row r="46" spans="2:12" ht="21" customHeight="1" x14ac:dyDescent="0.3">
      <c r="B46" s="999" t="s">
        <v>3404</v>
      </c>
      <c r="C46" s="1557"/>
      <c r="D46" s="1557"/>
      <c r="E46" s="1557"/>
      <c r="F46" s="1557"/>
      <c r="G46" s="1557"/>
      <c r="H46" s="1557"/>
      <c r="I46" s="1555"/>
      <c r="J46" s="1868"/>
      <c r="K46" s="1869"/>
      <c r="L46" s="1870"/>
    </row>
    <row r="47" spans="2:12" ht="21" customHeight="1" x14ac:dyDescent="0.3">
      <c r="B47" s="999" t="s">
        <v>3405</v>
      </c>
      <c r="C47" s="1552"/>
      <c r="D47" s="1552"/>
      <c r="E47" s="1552"/>
      <c r="F47" s="1552"/>
      <c r="G47" s="1553"/>
      <c r="H47" s="1554"/>
      <c r="I47" s="1555"/>
      <c r="J47" s="1868"/>
      <c r="K47" s="1869"/>
      <c r="L47" s="1870"/>
    </row>
    <row r="48" spans="2:12" ht="21" customHeight="1" x14ac:dyDescent="0.3">
      <c r="B48" s="999" t="s">
        <v>3406</v>
      </c>
      <c r="C48" s="1552"/>
      <c r="D48" s="1552"/>
      <c r="E48" s="1552"/>
      <c r="F48" s="1552"/>
      <c r="G48" s="1553"/>
      <c r="H48" s="1554"/>
      <c r="I48" s="1555"/>
      <c r="J48" s="1868"/>
      <c r="K48" s="1869"/>
      <c r="L48" s="1870"/>
    </row>
    <row r="49" spans="2:12" ht="21" customHeight="1" x14ac:dyDescent="0.3">
      <c r="B49" s="999" t="s">
        <v>3407</v>
      </c>
      <c r="C49" s="1552"/>
      <c r="D49" s="1552"/>
      <c r="E49" s="1552"/>
      <c r="F49" s="1552"/>
      <c r="G49" s="1553"/>
      <c r="H49" s="1554"/>
      <c r="I49" s="1555"/>
      <c r="J49" s="1868"/>
      <c r="K49" s="1869"/>
      <c r="L49" s="1870"/>
    </row>
    <row r="50" spans="2:12" ht="45" customHeight="1" x14ac:dyDescent="0.3">
      <c r="B50" s="1000" t="s">
        <v>3408</v>
      </c>
      <c r="C50" s="1548"/>
      <c r="D50" s="1548"/>
      <c r="E50" s="1548"/>
      <c r="F50" s="1548"/>
      <c r="G50" s="1864"/>
      <c r="H50" s="1864"/>
      <c r="I50" s="1556"/>
      <c r="J50" s="1891"/>
      <c r="K50" s="1797"/>
      <c r="L50" s="1798"/>
    </row>
    <row r="51" spans="2:12" x14ac:dyDescent="0.3">
      <c r="B51" s="411"/>
      <c r="C51" s="411"/>
      <c r="D51" s="411"/>
      <c r="E51" s="411"/>
      <c r="F51" s="411"/>
      <c r="G51" s="411"/>
      <c r="H51" s="411"/>
      <c r="I51" s="411"/>
      <c r="J51" s="411"/>
    </row>
    <row r="52" spans="2:12" ht="24" customHeight="1" x14ac:dyDescent="0.3">
      <c r="B52" s="1813" t="s">
        <v>1909</v>
      </c>
      <c r="C52" s="1822"/>
      <c r="D52" s="1822"/>
      <c r="E52" s="1822"/>
      <c r="F52" s="1823"/>
      <c r="G52" s="1559"/>
      <c r="H52" s="1559"/>
      <c r="I52" s="1559"/>
      <c r="J52" s="1559"/>
    </row>
    <row r="53" spans="2:12" ht="45" customHeight="1" x14ac:dyDescent="0.3">
      <c r="B53" s="998" t="s">
        <v>1910</v>
      </c>
      <c r="C53" s="1816" t="s">
        <v>216</v>
      </c>
      <c r="D53" s="1817"/>
      <c r="E53" s="1817"/>
      <c r="F53" s="1818"/>
      <c r="G53" s="1560"/>
      <c r="H53" s="1560"/>
      <c r="I53" s="1561"/>
      <c r="J53" s="1562"/>
    </row>
    <row r="54" spans="2:12" ht="45" customHeight="1" x14ac:dyDescent="0.3">
      <c r="B54" s="1000" t="s">
        <v>1911</v>
      </c>
      <c r="C54" s="1819" t="s">
        <v>216</v>
      </c>
      <c r="D54" s="1820"/>
      <c r="E54" s="1820"/>
      <c r="F54" s="1821"/>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813" t="s">
        <v>1912</v>
      </c>
      <c r="C56" s="1814"/>
      <c r="D56" s="1814"/>
      <c r="E56" s="1814"/>
      <c r="F56" s="1814"/>
      <c r="G56" s="1815"/>
      <c r="H56" s="1559"/>
      <c r="I56" s="1559"/>
      <c r="J56" s="1559"/>
    </row>
    <row r="57" spans="2:12" ht="30" customHeight="1" x14ac:dyDescent="0.3">
      <c r="B57" s="1558" t="s">
        <v>1913</v>
      </c>
      <c r="C57" s="1824" t="s">
        <v>2297</v>
      </c>
      <c r="D57" s="1825"/>
      <c r="E57" s="1825"/>
      <c r="F57" s="1825"/>
      <c r="G57" s="1564" t="str">
        <f>IFERROR(IF(VLOOKUP(C57,P102:R103,3,0)=0,"",VLOOKUP(C57,P102:R103,3,0)),"MISSING INFO")</f>
        <v>MISSING INFO</v>
      </c>
      <c r="H57" s="1560"/>
      <c r="I57" s="1560"/>
      <c r="J57" s="1563"/>
    </row>
    <row r="58" spans="2:12" x14ac:dyDescent="0.3">
      <c r="B58" s="1558" t="s">
        <v>1914</v>
      </c>
      <c r="C58" s="1805" t="s">
        <v>2296</v>
      </c>
      <c r="D58" s="1806"/>
      <c r="E58" s="1806"/>
      <c r="F58" s="1806"/>
      <c r="G58" s="1565" t="str">
        <f>IFERROR(IF(VLOOKUP(C58,P105:R107,3,0)=0,"",VLOOKUP(C58,P105:R107,3,0)),"MISSING INFO")</f>
        <v>MISSING INFO</v>
      </c>
      <c r="H58" s="1560"/>
      <c r="I58" s="1560"/>
      <c r="J58" s="1563"/>
    </row>
    <row r="59" spans="2:12" ht="24" customHeight="1" x14ac:dyDescent="0.3">
      <c r="B59" s="1558" t="s">
        <v>1915</v>
      </c>
      <c r="C59" s="1805" t="s">
        <v>2298</v>
      </c>
      <c r="D59" s="1806"/>
      <c r="E59" s="1806"/>
      <c r="F59" s="1806"/>
      <c r="G59" s="1565" t="str">
        <f>IFERROR(IF(VLOOKUP(C59,P109:R111,3,0)=0,"",VLOOKUP(C59,P109:R111,3,0)),"MISSING INFO")</f>
        <v>MISSING INFO</v>
      </c>
      <c r="H59" s="1560"/>
      <c r="I59" s="1560"/>
      <c r="J59" s="1562"/>
    </row>
    <row r="60" spans="2:12" ht="14" customHeight="1" x14ac:dyDescent="0.3">
      <c r="B60" s="1558" t="s">
        <v>3409</v>
      </c>
      <c r="C60" s="1805" t="s">
        <v>2300</v>
      </c>
      <c r="D60" s="1806"/>
      <c r="E60" s="1806"/>
      <c r="F60" s="1806"/>
      <c r="G60" s="1565" t="str">
        <f>IFERROR(IF(VLOOKUP(C60,P115:R121,3,0)=0,"",VLOOKUP(C60,P115:R121,3,0)),"MISSING INFO")</f>
        <v>MISSING INFO</v>
      </c>
      <c r="H60" s="1560"/>
      <c r="I60" s="1560"/>
      <c r="J60" s="1563"/>
    </row>
    <row r="61" spans="2:12" ht="14" customHeight="1" x14ac:dyDescent="0.3">
      <c r="B61" s="1558" t="s">
        <v>3410</v>
      </c>
      <c r="C61" s="1805" t="s">
        <v>2299</v>
      </c>
      <c r="D61" s="1806"/>
      <c r="E61" s="1806"/>
      <c r="F61" s="1806"/>
      <c r="G61" s="1565" t="str">
        <f>IFERROR(IF(VLOOKUP(C61,P123:R124,3,0)=0,"",VLOOKUP(C61,P123:R124,3,0)),"MISSING INFO")</f>
        <v>MISSING INFO</v>
      </c>
      <c r="H61" s="1560"/>
      <c r="I61" s="1560"/>
      <c r="J61" s="1563"/>
    </row>
    <row r="62" spans="2:12" x14ac:dyDescent="0.3">
      <c r="B62" s="1558" t="s">
        <v>1916</v>
      </c>
      <c r="C62" s="1805" t="s">
        <v>2299</v>
      </c>
      <c r="D62" s="1806"/>
      <c r="E62" s="1806"/>
      <c r="F62" s="1806"/>
      <c r="G62" s="1565"/>
      <c r="H62" s="1560"/>
      <c r="I62" s="1560"/>
      <c r="J62" s="1563"/>
    </row>
    <row r="63" spans="2:12" x14ac:dyDescent="0.3">
      <c r="B63" s="1558" t="s">
        <v>3411</v>
      </c>
      <c r="C63" s="1856" t="s">
        <v>216</v>
      </c>
      <c r="D63" s="1857"/>
      <c r="E63" s="1857"/>
      <c r="F63" s="1857"/>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858" t="s">
        <v>1919</v>
      </c>
      <c r="D67" s="1859"/>
      <c r="E67" s="1859"/>
      <c r="F67" s="1860"/>
      <c r="G67" s="1862" t="s">
        <v>1919</v>
      </c>
      <c r="H67" s="1862"/>
      <c r="I67" s="1862"/>
      <c r="J67" s="1863"/>
    </row>
    <row r="68" spans="2:18" ht="42" customHeight="1" x14ac:dyDescent="0.3">
      <c r="B68" s="1160" t="str" cm="1">
        <f t="array" ref="B68">IF(COUNTIF(I26:I61,"="&amp;"MISSING INFO")&gt;0,P143,IF(SUMPRODUCT(--(LEN(I26:I61)))&gt;0,P141,P142))</f>
        <v>Missing Information</v>
      </c>
      <c r="C68" s="1549"/>
      <c r="D68" s="1549"/>
      <c r="E68" s="1549"/>
      <c r="F68" s="1549"/>
      <c r="G68" s="1871" t="str">
        <f>VLOOKUP(B68,P141:Q143,2,0)</f>
        <v>Complete all required fields above to clear all "MISSING INFO" error messages.</v>
      </c>
      <c r="H68" s="1872"/>
      <c r="I68" s="1872"/>
      <c r="J68" s="1873"/>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861" t="s">
        <v>1901</v>
      </c>
      <c r="Q73" s="1861"/>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861" t="s">
        <v>1909</v>
      </c>
      <c r="Q88" s="1861"/>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1936"/>
      <c r="X1" s="1936"/>
      <c r="Y1" s="1936"/>
    </row>
    <row r="2" spans="1:25" s="469" customFormat="1" ht="20.25" customHeight="1" x14ac:dyDescent="0.3">
      <c r="C2" s="818" t="s">
        <v>2306</v>
      </c>
      <c r="D2" s="698"/>
      <c r="E2" s="698"/>
      <c r="F2" s="699"/>
      <c r="G2" s="700"/>
      <c r="H2" s="700"/>
      <c r="I2" s="700"/>
      <c r="J2" s="700"/>
      <c r="L2" s="1697"/>
      <c r="M2" s="1697"/>
      <c r="N2" s="1697"/>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1937" t="s">
        <v>3262</v>
      </c>
      <c r="D5" s="1937"/>
      <c r="E5" s="1937"/>
      <c r="F5" s="1937"/>
      <c r="G5" s="1470"/>
      <c r="H5" s="1470"/>
      <c r="I5" s="1470"/>
      <c r="J5" s="1470"/>
      <c r="L5" s="805"/>
      <c r="M5" s="805"/>
      <c r="N5" s="805"/>
      <c r="O5" s="1471"/>
      <c r="P5" s="1471"/>
      <c r="Q5" s="1471"/>
      <c r="R5" s="1471"/>
      <c r="W5" s="1072"/>
      <c r="X5" s="1073"/>
      <c r="Y5" s="1073"/>
    </row>
    <row r="6" spans="1:25" s="812" customFormat="1" ht="20" customHeight="1" x14ac:dyDescent="0.35">
      <c r="C6" s="1934" t="s">
        <v>3263</v>
      </c>
      <c r="D6" s="1934"/>
      <c r="E6" s="1934"/>
      <c r="F6" s="1934"/>
      <c r="G6" s="815"/>
      <c r="H6" s="815"/>
      <c r="I6" s="815"/>
      <c r="J6" s="815"/>
      <c r="L6" s="805"/>
      <c r="M6" s="805"/>
      <c r="N6" s="805"/>
      <c r="O6" s="816"/>
      <c r="P6" s="816"/>
      <c r="Q6" s="816"/>
      <c r="R6" s="816"/>
      <c r="W6" s="1072"/>
      <c r="X6" s="1073"/>
      <c r="Y6" s="1073"/>
    </row>
    <row r="7" spans="1:25" s="812" customFormat="1" ht="20" customHeight="1" x14ac:dyDescent="0.35">
      <c r="C7" s="1935" t="s">
        <v>2274</v>
      </c>
      <c r="D7" s="1935"/>
      <c r="E7" s="1935"/>
      <c r="F7" s="1935"/>
      <c r="G7" s="815"/>
      <c r="H7" s="815"/>
      <c r="I7" s="815"/>
      <c r="J7" s="815"/>
      <c r="L7" s="805"/>
      <c r="M7" s="805"/>
      <c r="N7" s="805"/>
      <c r="O7" s="816"/>
      <c r="P7" s="816"/>
      <c r="Q7" s="816"/>
      <c r="R7" s="816"/>
      <c r="W7" s="1072"/>
      <c r="X7" s="1073"/>
      <c r="Y7" s="1073"/>
    </row>
    <row r="8" spans="1:25" s="812" customFormat="1" ht="29.5" customHeight="1" x14ac:dyDescent="0.35">
      <c r="C8" s="1935" t="s">
        <v>2275</v>
      </c>
      <c r="D8" s="1935"/>
      <c r="E8" s="1935"/>
      <c r="F8" s="1935"/>
      <c r="G8" s="815"/>
      <c r="H8" s="815"/>
      <c r="I8" s="815"/>
      <c r="J8" s="815"/>
      <c r="L8" s="805"/>
      <c r="M8" s="805"/>
      <c r="N8" s="805"/>
      <c r="O8" s="816"/>
      <c r="P8" s="816"/>
      <c r="Q8" s="816"/>
      <c r="R8" s="816"/>
      <c r="W8" s="1072"/>
      <c r="X8" s="1073"/>
      <c r="Y8" s="1073"/>
    </row>
    <row r="9" spans="1:25" s="812" customFormat="1" ht="29.5" customHeight="1" x14ac:dyDescent="0.35">
      <c r="C9" s="1935" t="s">
        <v>3264</v>
      </c>
      <c r="D9" s="1935"/>
      <c r="E9" s="1935"/>
      <c r="F9" s="1935"/>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1917"/>
      <c r="N11" s="1917"/>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1933"/>
      <c r="N12" s="1933"/>
      <c r="O12" s="660"/>
      <c r="P12" s="660"/>
      <c r="Q12" s="660"/>
      <c r="R12" s="660"/>
      <c r="W12" s="1074"/>
      <c r="X12" s="1075"/>
      <c r="Y12" s="1075"/>
    </row>
    <row r="13" spans="1:25" ht="17.5" x14ac:dyDescent="0.3">
      <c r="C13" s="1930" t="s">
        <v>2199</v>
      </c>
      <c r="D13" s="1931"/>
      <c r="E13" s="395"/>
      <c r="F13" s="1922"/>
      <c r="G13" s="1922"/>
      <c r="H13" s="665"/>
      <c r="I13" s="665"/>
      <c r="J13" s="665"/>
      <c r="K13" s="484"/>
      <c r="L13" s="664"/>
      <c r="M13" s="1933"/>
      <c r="N13" s="1933"/>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1933"/>
      <c r="N14" s="1933"/>
      <c r="O14" s="666"/>
      <c r="P14" s="666"/>
      <c r="Q14" s="666"/>
      <c r="R14" s="666"/>
      <c r="S14" s="413"/>
      <c r="T14" s="413"/>
      <c r="U14" s="667"/>
      <c r="V14" s="667"/>
      <c r="W14" s="1077"/>
      <c r="X14" s="1932"/>
      <c r="Y14" s="1932"/>
    </row>
    <row r="15" spans="1:25" ht="18" customHeight="1" x14ac:dyDescent="0.3">
      <c r="C15" s="867" t="s">
        <v>17</v>
      </c>
      <c r="D15" s="991" t="str">
        <f>'1. Project Inputs'!C18</f>
        <v>C Spire</v>
      </c>
      <c r="F15" s="1902"/>
      <c r="G15" s="411"/>
      <c r="H15" s="411"/>
      <c r="I15" s="411"/>
      <c r="J15" s="411"/>
      <c r="K15" s="671"/>
      <c r="L15" s="672"/>
      <c r="M15" s="1933"/>
      <c r="N15" s="1933"/>
      <c r="O15" s="673"/>
      <c r="P15" s="673"/>
      <c r="Q15" s="673"/>
      <c r="R15" s="673"/>
      <c r="S15" s="413"/>
      <c r="T15" s="413"/>
      <c r="U15" s="1921"/>
      <c r="V15" s="411"/>
      <c r="W15" s="399"/>
    </row>
    <row r="16" spans="1:25" ht="18" customHeight="1" x14ac:dyDescent="0.3">
      <c r="C16" s="867" t="s">
        <v>47</v>
      </c>
      <c r="D16" s="1021" t="str">
        <f>'1. Project Inputs'!C19</f>
        <v>TA Digital</v>
      </c>
      <c r="F16" s="1902"/>
      <c r="G16" s="411"/>
      <c r="H16" s="411"/>
      <c r="I16" s="411"/>
      <c r="J16" s="411"/>
      <c r="K16" s="671"/>
      <c r="L16" s="671"/>
      <c r="M16" s="641"/>
      <c r="N16" s="647"/>
      <c r="O16" s="673"/>
      <c r="P16" s="673"/>
      <c r="Q16" s="673"/>
      <c r="R16" s="673"/>
      <c r="S16" s="413"/>
      <c r="T16" s="413"/>
      <c r="U16" s="1921"/>
      <c r="V16" s="411"/>
      <c r="W16" s="399"/>
    </row>
    <row r="17" spans="3:23" ht="17.25" customHeight="1" x14ac:dyDescent="0.3">
      <c r="C17" s="867" t="s">
        <v>48</v>
      </c>
      <c r="D17" s="991" t="str">
        <f>'1. Project Inputs'!C20</f>
        <v>No</v>
      </c>
      <c r="F17" s="1902"/>
      <c r="G17" s="411"/>
      <c r="H17" s="411"/>
      <c r="I17" s="411"/>
      <c r="J17" s="411"/>
      <c r="K17" s="671"/>
      <c r="L17" s="671"/>
      <c r="M17" s="641"/>
      <c r="N17" s="647"/>
      <c r="O17" s="673"/>
      <c r="P17" s="673"/>
      <c r="Q17" s="673"/>
      <c r="R17" s="673"/>
      <c r="S17" s="413"/>
      <c r="T17" s="413"/>
      <c r="U17" s="1921"/>
      <c r="V17" s="411"/>
      <c r="W17" s="399"/>
    </row>
    <row r="18" spans="3:23" ht="16" customHeight="1" x14ac:dyDescent="0.3">
      <c r="C18" s="962" t="s">
        <v>2064</v>
      </c>
      <c r="D18" s="991">
        <f>'1. Project Inputs'!C22</f>
        <v>1324</v>
      </c>
      <c r="E18" s="519"/>
      <c r="F18" s="1902"/>
      <c r="G18" s="411"/>
      <c r="H18" s="411"/>
      <c r="I18" s="411"/>
      <c r="J18" s="411"/>
      <c r="K18" s="671"/>
      <c r="L18" s="671"/>
      <c r="M18" s="641"/>
      <c r="N18" s="647"/>
      <c r="O18" s="673"/>
      <c r="P18" s="673"/>
      <c r="Q18" s="673"/>
      <c r="R18" s="673"/>
      <c r="S18" s="413"/>
      <c r="T18" s="413"/>
      <c r="U18" s="1921"/>
      <c r="V18" s="411"/>
      <c r="W18" s="399"/>
    </row>
    <row r="19" spans="3:23" ht="16" customHeight="1" x14ac:dyDescent="0.3">
      <c r="C19" s="962" t="s">
        <v>22</v>
      </c>
      <c r="D19" s="991" t="str">
        <f>'1. Project Inputs'!C23</f>
        <v>Test Digital Project</v>
      </c>
      <c r="E19" s="519"/>
      <c r="F19" s="1902"/>
      <c r="G19" s="411"/>
      <c r="H19" s="411"/>
      <c r="I19" s="411"/>
      <c r="J19" s="411"/>
      <c r="K19" s="671"/>
      <c r="L19" s="671"/>
      <c r="M19" s="641"/>
      <c r="N19" s="647"/>
      <c r="O19" s="673"/>
      <c r="P19" s="673"/>
      <c r="Q19" s="673"/>
      <c r="R19" s="673"/>
      <c r="S19" s="413"/>
      <c r="T19" s="413"/>
      <c r="U19" s="1921"/>
      <c r="V19" s="411"/>
      <c r="W19" s="399"/>
    </row>
    <row r="20" spans="3:23" ht="16" customHeight="1" x14ac:dyDescent="0.3">
      <c r="C20" s="962" t="s">
        <v>23</v>
      </c>
      <c r="D20" s="1021" t="str">
        <f>'1. Project Inputs'!C24</f>
        <v>Digital - Systems Implementation</v>
      </c>
      <c r="E20" s="519"/>
      <c r="F20" s="1902"/>
      <c r="G20" s="411"/>
      <c r="H20" s="411"/>
      <c r="I20" s="411"/>
      <c r="J20" s="411"/>
      <c r="K20" s="671"/>
      <c r="L20" s="671"/>
      <c r="M20" s="641"/>
      <c r="N20" s="675"/>
      <c r="O20" s="676"/>
      <c r="P20" s="676"/>
      <c r="Q20" s="676"/>
      <c r="R20" s="676"/>
      <c r="S20" s="413"/>
      <c r="T20" s="413"/>
      <c r="U20" s="1921"/>
      <c r="V20" s="411"/>
      <c r="W20" s="399"/>
    </row>
    <row r="21" spans="3:23" ht="16" customHeight="1" x14ac:dyDescent="0.3">
      <c r="C21" s="962" t="s">
        <v>49</v>
      </c>
      <c r="D21" s="1021" t="str">
        <f>'1. Project Inputs'!C25</f>
        <v>Standard Rates</v>
      </c>
      <c r="E21" s="519"/>
      <c r="F21" s="1902"/>
      <c r="G21" s="411"/>
      <c r="H21" s="411"/>
      <c r="I21" s="411"/>
      <c r="J21" s="411"/>
      <c r="K21" s="671"/>
      <c r="L21" s="671"/>
      <c r="M21" s="641"/>
      <c r="N21" s="677"/>
      <c r="O21" s="678"/>
      <c r="P21" s="678"/>
      <c r="Q21" s="678"/>
      <c r="R21" s="678"/>
      <c r="S21" s="413"/>
      <c r="T21" s="413"/>
      <c r="U21" s="1921"/>
      <c r="V21" s="411"/>
      <c r="W21" s="399"/>
    </row>
    <row r="22" spans="3:23" ht="31" customHeight="1" x14ac:dyDescent="0.3">
      <c r="C22" s="1022" t="s">
        <v>25</v>
      </c>
      <c r="D22" s="1021" t="str">
        <f>IF(ISBLANK('1. Project Inputs'!C26)," ",'1. Project Inputs'!C26)</f>
        <v xml:space="preserve"> </v>
      </c>
      <c r="F22" s="1902"/>
      <c r="G22" s="411"/>
      <c r="H22" s="411"/>
      <c r="I22" s="411"/>
      <c r="J22" s="411"/>
      <c r="K22" s="671"/>
      <c r="L22" s="671"/>
      <c r="M22" s="641"/>
      <c r="N22" s="677"/>
      <c r="O22" s="679"/>
      <c r="P22" s="679"/>
      <c r="Q22" s="679"/>
      <c r="R22" s="679"/>
      <c r="S22" s="413"/>
      <c r="T22" s="413"/>
      <c r="U22" s="1921"/>
      <c r="V22" s="411"/>
      <c r="W22" s="399"/>
    </row>
    <row r="23" spans="3:23" ht="16" customHeight="1" x14ac:dyDescent="0.3">
      <c r="C23" s="867" t="s">
        <v>26</v>
      </c>
      <c r="D23" s="1023">
        <f>'1. Project Inputs'!C27</f>
        <v>45916</v>
      </c>
      <c r="F23" s="1902"/>
      <c r="G23" s="411"/>
      <c r="H23" s="411"/>
      <c r="I23" s="411"/>
      <c r="J23" s="411"/>
      <c r="K23" s="671"/>
      <c r="L23" s="671"/>
      <c r="M23" s="641"/>
      <c r="N23" s="680"/>
      <c r="O23" s="673"/>
      <c r="P23" s="673"/>
      <c r="Q23" s="673"/>
      <c r="R23" s="673"/>
      <c r="S23" s="413"/>
      <c r="T23" s="413"/>
      <c r="U23" s="1921"/>
      <c r="V23" s="411"/>
      <c r="W23" s="399"/>
    </row>
    <row r="24" spans="3:23" ht="17.25" customHeight="1" x14ac:dyDescent="0.3">
      <c r="C24" s="867" t="s">
        <v>50</v>
      </c>
      <c r="D24" s="1024">
        <f>'1. Project Inputs'!C29</f>
        <v>30</v>
      </c>
      <c r="E24" s="681"/>
      <c r="F24" s="1902"/>
      <c r="G24" s="411"/>
      <c r="H24" s="411"/>
      <c r="I24" s="411"/>
      <c r="J24" s="411"/>
      <c r="K24" s="671"/>
      <c r="L24" s="671"/>
      <c r="M24" s="641"/>
      <c r="N24" s="505"/>
      <c r="O24" s="505"/>
      <c r="P24" s="505"/>
      <c r="Q24" s="505"/>
      <c r="R24" s="505"/>
      <c r="S24" s="413"/>
      <c r="T24" s="413"/>
      <c r="U24" s="1921"/>
      <c r="V24" s="411"/>
      <c r="W24" s="399"/>
    </row>
    <row r="25" spans="3:23" ht="15" x14ac:dyDescent="0.3">
      <c r="C25" s="867" t="s">
        <v>27</v>
      </c>
      <c r="D25" s="1024" t="str">
        <f>'1. Project Inputs'!C28</f>
        <v>Fixed Fee</v>
      </c>
      <c r="E25" s="681"/>
      <c r="F25" s="1902"/>
      <c r="G25" s="411"/>
      <c r="H25" s="411"/>
      <c r="I25" s="411"/>
      <c r="J25" s="411"/>
      <c r="K25" s="671"/>
      <c r="L25" s="671"/>
      <c r="M25" s="641"/>
      <c r="N25" s="505"/>
      <c r="O25" s="505"/>
      <c r="P25" s="505"/>
      <c r="Q25" s="505"/>
      <c r="R25" s="505"/>
      <c r="S25" s="413"/>
      <c r="T25" s="413"/>
      <c r="U25" s="1921"/>
      <c r="V25" s="411"/>
      <c r="W25" s="399"/>
    </row>
    <row r="26" spans="3:23" ht="19" customHeight="1" x14ac:dyDescent="0.3">
      <c r="C26" s="962" t="s">
        <v>16</v>
      </c>
      <c r="D26" s="1473" t="str">
        <f>IF(ISBLANK('1. Project Inputs'!G17),"",'1. Project Inputs'!G17)</f>
        <v/>
      </c>
      <c r="E26" s="681"/>
      <c r="F26" s="1902"/>
      <c r="G26" s="411"/>
      <c r="H26" s="411"/>
      <c r="I26" s="411"/>
      <c r="J26" s="411"/>
      <c r="K26" s="671"/>
      <c r="L26" s="671"/>
      <c r="M26" s="641"/>
      <c r="N26" s="505"/>
      <c r="O26" s="505"/>
      <c r="P26" s="505"/>
      <c r="Q26" s="505"/>
      <c r="R26" s="505"/>
      <c r="S26" s="413"/>
      <c r="T26" s="413"/>
      <c r="U26" s="1921"/>
      <c r="V26" s="411"/>
      <c r="W26" s="399"/>
    </row>
    <row r="27" spans="3:23" ht="18" customHeight="1" x14ac:dyDescent="0.3">
      <c r="C27" s="962" t="s">
        <v>18</v>
      </c>
      <c r="D27" s="1473" t="str">
        <f>IF(ISBLANK('1. Project Inputs'!G18),"",'1. Project Inputs'!G18)</f>
        <v/>
      </c>
      <c r="E27" s="681"/>
      <c r="F27" s="1902"/>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1902"/>
      <c r="G28" s="411"/>
      <c r="H28" s="430"/>
      <c r="I28" s="430"/>
      <c r="J28" s="430"/>
      <c r="K28" s="682"/>
      <c r="L28" s="682"/>
      <c r="U28" s="674"/>
      <c r="V28" s="411"/>
      <c r="W28" s="399"/>
    </row>
    <row r="29" spans="3:23" ht="7" customHeight="1" x14ac:dyDescent="0.3">
      <c r="C29" s="683"/>
      <c r="D29" s="684"/>
      <c r="E29" s="681"/>
      <c r="F29" s="1902"/>
      <c r="G29" s="411"/>
      <c r="H29" s="430"/>
      <c r="I29" s="430"/>
      <c r="J29" s="430"/>
      <c r="K29" s="682"/>
      <c r="L29" s="682"/>
      <c r="U29" s="674"/>
      <c r="V29" s="411"/>
      <c r="W29" s="399"/>
    </row>
    <row r="30" spans="3:23" ht="15" x14ac:dyDescent="0.3">
      <c r="C30" s="1026" t="s">
        <v>2202</v>
      </c>
      <c r="E30" s="681"/>
      <c r="F30" s="1902"/>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1902"/>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1902"/>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1902"/>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1902"/>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1909" t="s">
        <v>51</v>
      </c>
      <c r="C59" s="1911" t="s">
        <v>52</v>
      </c>
      <c r="D59" s="1913" t="s">
        <v>53</v>
      </c>
      <c r="E59" s="1915" t="s">
        <v>54</v>
      </c>
      <c r="F59" s="1923" t="s">
        <v>55</v>
      </c>
      <c r="G59" s="1913" t="s">
        <v>56</v>
      </c>
      <c r="H59" s="1399"/>
      <c r="I59" s="1399"/>
      <c r="J59" s="1399"/>
      <c r="K59" s="1913" t="s">
        <v>57</v>
      </c>
      <c r="L59" s="1903" t="s">
        <v>58</v>
      </c>
      <c r="M59" s="1906" t="s">
        <v>59</v>
      </c>
      <c r="N59" s="1907"/>
      <c r="O59" s="1907"/>
      <c r="P59" s="1906" t="s">
        <v>60</v>
      </c>
      <c r="Q59" s="1907"/>
      <c r="R59" s="1908"/>
      <c r="S59" s="1925" t="s">
        <v>61</v>
      </c>
      <c r="T59" s="1925" t="s">
        <v>62</v>
      </c>
    </row>
    <row r="60" spans="2:23" ht="21" customHeight="1" x14ac:dyDescent="0.3">
      <c r="B60" s="1910"/>
      <c r="C60" s="1912"/>
      <c r="D60" s="1914"/>
      <c r="E60" s="1916"/>
      <c r="F60" s="1924"/>
      <c r="G60" s="1914"/>
      <c r="H60" s="1400"/>
      <c r="I60" s="1400"/>
      <c r="J60" s="1400"/>
      <c r="K60" s="1914"/>
      <c r="L60" s="1904"/>
      <c r="M60" s="1927" t="str">
        <f>'1. Project Inputs'!C64</f>
        <v>Enter Option 1 Name</v>
      </c>
      <c r="N60" s="1927" t="str">
        <f>'1. Project Inputs'!C65</f>
        <v>Enter Option 2 Name</v>
      </c>
      <c r="O60" s="1927" t="str">
        <f>'1. Project Inputs'!C66</f>
        <v>Enter Option 3 Name</v>
      </c>
      <c r="P60" s="690"/>
      <c r="Q60" s="690"/>
      <c r="R60" s="690"/>
      <c r="S60" s="1926"/>
      <c r="T60" s="1926"/>
    </row>
    <row r="61" spans="2:23" ht="44.5" customHeight="1" thickBot="1" x14ac:dyDescent="0.35">
      <c r="B61" s="109"/>
      <c r="C61" s="691"/>
      <c r="D61" s="692"/>
      <c r="E61" s="693"/>
      <c r="F61" s="694"/>
      <c r="G61" s="692"/>
      <c r="H61" s="692"/>
      <c r="I61" s="692"/>
      <c r="J61" s="692"/>
      <c r="K61" s="692"/>
      <c r="L61" s="1905"/>
      <c r="M61" s="1928"/>
      <c r="N61" s="1928"/>
      <c r="O61" s="1928"/>
      <c r="P61" s="695"/>
      <c r="Q61" s="695"/>
      <c r="R61" s="695"/>
      <c r="S61" s="696"/>
      <c r="T61" s="1929"/>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1918" t="s">
        <v>79</v>
      </c>
      <c r="D128" s="1919"/>
      <c r="E128" s="1920"/>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1918" t="s">
        <v>83</v>
      </c>
      <c r="D146" s="1919"/>
      <c r="E146" s="1919"/>
      <c r="F146" s="1920"/>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1940" t="s">
        <v>2303</v>
      </c>
      <c r="C7" s="1940"/>
      <c r="D7" s="1940"/>
      <c r="E7" s="1940"/>
      <c r="F7" s="1940"/>
      <c r="G7" s="1940"/>
      <c r="H7" s="1940"/>
      <c r="I7" s="1940"/>
      <c r="J7" s="1940"/>
      <c r="K7" s="395"/>
      <c r="L7" s="395"/>
      <c r="N7" s="395"/>
      <c r="O7" s="395"/>
      <c r="P7" s="395"/>
      <c r="Q7" s="395"/>
      <c r="R7" s="395"/>
    </row>
    <row r="8" spans="2:18" ht="14.25" customHeight="1" x14ac:dyDescent="0.3">
      <c r="B8" s="1941" t="s">
        <v>3268</v>
      </c>
      <c r="C8" s="1941"/>
      <c r="D8" s="1941"/>
      <c r="E8" s="1941"/>
      <c r="F8" s="1941"/>
      <c r="G8" s="1941"/>
      <c r="H8" s="1941"/>
      <c r="I8" s="1941"/>
      <c r="J8" s="1941"/>
      <c r="K8" s="395"/>
      <c r="L8" s="395"/>
      <c r="N8" s="395"/>
      <c r="O8" s="395"/>
      <c r="P8" s="395"/>
      <c r="Q8" s="395"/>
      <c r="R8" s="395"/>
    </row>
    <row r="9" spans="2:18" x14ac:dyDescent="0.3">
      <c r="B9" s="1713" t="s">
        <v>3269</v>
      </c>
      <c r="C9" s="1713"/>
      <c r="D9" s="1713"/>
      <c r="E9" s="1713"/>
      <c r="F9" s="1713"/>
      <c r="G9" s="1713"/>
      <c r="H9" s="1713"/>
      <c r="I9" s="1713"/>
      <c r="J9" s="1713"/>
      <c r="K9" s="395"/>
      <c r="L9" s="395"/>
      <c r="N9" s="395"/>
      <c r="O9" s="395"/>
      <c r="P9" s="395"/>
      <c r="Q9" s="395"/>
      <c r="R9" s="395"/>
    </row>
    <row r="10" spans="2:18" x14ac:dyDescent="0.3">
      <c r="B10" s="1713" t="s">
        <v>89</v>
      </c>
      <c r="C10" s="1713"/>
      <c r="D10" s="1713"/>
      <c r="E10" s="1713"/>
      <c r="F10" s="1713"/>
      <c r="G10" s="1713"/>
      <c r="H10" s="1713"/>
      <c r="I10" s="1713"/>
      <c r="J10" s="1713"/>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1938" t="s">
        <v>90</v>
      </c>
      <c r="D12" s="1939"/>
      <c r="E12" s="395"/>
      <c r="F12" s="395"/>
      <c r="G12" s="1475"/>
      <c r="H12" s="413"/>
      <c r="I12" s="1938" t="s">
        <v>91</v>
      </c>
      <c r="J12" s="1939"/>
      <c r="K12" s="395"/>
      <c r="L12" s="395"/>
      <c r="M12" s="1475"/>
      <c r="N12" s="413"/>
      <c r="O12" s="1938" t="s">
        <v>92</v>
      </c>
      <c r="P12" s="1939"/>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52"/>
      <c r="J62" s="1652"/>
      <c r="K62" s="1652"/>
      <c r="L62" s="1652"/>
      <c r="M62" s="1484"/>
      <c r="N62" s="395"/>
      <c r="O62" s="395"/>
      <c r="P62" s="395"/>
      <c r="Q62" s="395"/>
      <c r="R62" s="395"/>
    </row>
    <row r="63" spans="2:43" x14ac:dyDescent="0.3">
      <c r="B63" s="413"/>
      <c r="C63" s="395"/>
      <c r="D63" s="395"/>
      <c r="E63" s="395"/>
      <c r="F63" s="395"/>
      <c r="G63" s="1475"/>
      <c r="H63" s="395"/>
      <c r="I63" s="1652"/>
      <c r="J63" s="1652"/>
      <c r="K63" s="1652"/>
      <c r="L63" s="1652"/>
      <c r="M63" s="1484"/>
      <c r="N63" s="395"/>
      <c r="O63" s="395"/>
      <c r="P63" s="395"/>
      <c r="Q63" s="395"/>
      <c r="R63" s="395"/>
    </row>
    <row r="64" spans="2:43" x14ac:dyDescent="0.3">
      <c r="B64" s="413"/>
      <c r="C64" s="395"/>
      <c r="D64" s="395"/>
      <c r="E64" s="395"/>
      <c r="F64" s="395"/>
      <c r="G64" s="1475"/>
      <c r="H64" s="395"/>
      <c r="I64" s="1652"/>
      <c r="J64" s="1652"/>
      <c r="K64" s="1652"/>
      <c r="L64" s="1652"/>
      <c r="M64" s="1484"/>
      <c r="N64" s="395"/>
      <c r="O64" s="395"/>
      <c r="P64" s="395"/>
      <c r="Q64" s="395"/>
      <c r="R64" s="395"/>
    </row>
    <row r="65" spans="2:18" x14ac:dyDescent="0.3">
      <c r="B65" s="413"/>
      <c r="C65" s="395"/>
      <c r="D65" s="395"/>
      <c r="E65" s="395"/>
      <c r="F65" s="395"/>
      <c r="G65" s="1475"/>
      <c r="H65" s="395"/>
      <c r="I65" s="1652"/>
      <c r="J65" s="1652"/>
      <c r="K65" s="1652"/>
      <c r="L65" s="1652"/>
      <c r="M65" s="1484"/>
      <c r="N65" s="395"/>
      <c r="O65" s="395"/>
      <c r="P65" s="395"/>
      <c r="Q65" s="395"/>
      <c r="R65" s="395"/>
    </row>
    <row r="66" spans="2:18" x14ac:dyDescent="0.3">
      <c r="B66" s="413"/>
      <c r="C66" s="395"/>
      <c r="D66" s="395"/>
      <c r="E66" s="395"/>
      <c r="F66" s="395"/>
      <c r="G66" s="1475"/>
      <c r="H66" s="395"/>
      <c r="I66" s="1652"/>
      <c r="J66" s="1652"/>
      <c r="K66" s="1652"/>
      <c r="L66" s="1652"/>
      <c r="M66" s="1484"/>
      <c r="N66" s="395"/>
      <c r="O66" s="395"/>
      <c r="P66" s="395"/>
      <c r="Q66" s="395"/>
      <c r="R66" s="395"/>
    </row>
    <row r="67" spans="2:18" x14ac:dyDescent="0.3">
      <c r="B67" s="413"/>
      <c r="C67" s="395"/>
      <c r="D67" s="395"/>
      <c r="E67" s="395"/>
      <c r="F67" s="395"/>
      <c r="G67" s="1475"/>
      <c r="H67" s="395"/>
      <c r="I67" s="1652"/>
      <c r="J67" s="1652"/>
      <c r="K67" s="1652"/>
      <c r="L67" s="1652"/>
      <c r="M67" s="1484"/>
      <c r="N67" s="395"/>
      <c r="O67" s="395"/>
      <c r="P67" s="395"/>
      <c r="Q67" s="395"/>
      <c r="R67" s="395"/>
    </row>
    <row r="68" spans="2:18" x14ac:dyDescent="0.3">
      <c r="B68" s="413"/>
      <c r="C68" s="395"/>
      <c r="D68" s="395"/>
      <c r="E68" s="395"/>
      <c r="F68" s="395"/>
      <c r="G68" s="1475"/>
      <c r="H68" s="395"/>
      <c r="I68" s="1652"/>
      <c r="J68" s="1652"/>
      <c r="K68" s="1652"/>
      <c r="L68" s="1652"/>
      <c r="M68" s="1484"/>
      <c r="N68" s="395"/>
      <c r="O68" s="395"/>
      <c r="P68" s="395"/>
      <c r="Q68" s="395"/>
      <c r="R68" s="395"/>
    </row>
    <row r="69" spans="2:18" x14ac:dyDescent="0.3">
      <c r="B69" s="413"/>
      <c r="C69" s="395"/>
      <c r="D69" s="395"/>
      <c r="E69" s="395"/>
      <c r="F69" s="395"/>
      <c r="G69" s="1475"/>
      <c r="H69" s="395"/>
      <c r="I69" s="1652"/>
      <c r="J69" s="1652"/>
      <c r="K69" s="1652"/>
      <c r="L69" s="1652"/>
      <c r="M69" s="1484"/>
      <c r="N69" s="395"/>
      <c r="O69" s="395"/>
      <c r="P69" s="395"/>
      <c r="Q69" s="395"/>
      <c r="R69" s="395"/>
    </row>
    <row r="70" spans="2:18" x14ac:dyDescent="0.3">
      <c r="B70" s="413"/>
      <c r="C70" s="395"/>
      <c r="D70" s="395"/>
      <c r="E70" s="395"/>
      <c r="F70" s="395"/>
      <c r="G70" s="1475"/>
      <c r="H70" s="395"/>
      <c r="I70" s="1652"/>
      <c r="J70" s="1652"/>
      <c r="K70" s="1652"/>
      <c r="L70" s="1652"/>
      <c r="M70" s="1484"/>
      <c r="N70" s="395"/>
      <c r="O70" s="395"/>
      <c r="P70" s="395"/>
      <c r="Q70" s="395"/>
      <c r="R70" s="395"/>
    </row>
    <row r="71" spans="2:18" x14ac:dyDescent="0.3">
      <c r="B71" s="413"/>
      <c r="C71" s="395"/>
      <c r="D71" s="492"/>
      <c r="E71" s="600"/>
      <c r="F71" s="600"/>
      <c r="G71" s="1499"/>
      <c r="H71" s="395"/>
      <c r="I71" s="1652"/>
      <c r="J71" s="1652"/>
      <c r="K71" s="1652"/>
      <c r="L71" s="1652"/>
      <c r="M71" s="1484"/>
      <c r="N71" s="395"/>
      <c r="O71" s="395"/>
      <c r="P71" s="395"/>
      <c r="Q71" s="395"/>
      <c r="R71" s="395"/>
    </row>
    <row r="72" spans="2:18" x14ac:dyDescent="0.3">
      <c r="B72" s="413"/>
      <c r="C72" s="1496"/>
      <c r="D72" s="495"/>
      <c r="E72" s="820"/>
      <c r="F72" s="820"/>
      <c r="G72" s="1497"/>
      <c r="H72" s="395"/>
      <c r="I72" s="1652"/>
      <c r="J72" s="1652"/>
      <c r="K72" s="1652"/>
      <c r="L72" s="1652"/>
      <c r="M72" s="1484"/>
      <c r="N72" s="395"/>
      <c r="O72" s="395"/>
      <c r="P72" s="395"/>
      <c r="Q72" s="395"/>
      <c r="R72" s="395"/>
    </row>
    <row r="73" spans="2:18" x14ac:dyDescent="0.3">
      <c r="B73" s="413"/>
      <c r="C73" s="1496"/>
      <c r="D73" s="495"/>
      <c r="E73" s="820"/>
      <c r="F73" s="820"/>
      <c r="G73" s="1497"/>
      <c r="H73" s="395"/>
      <c r="I73" s="1652"/>
      <c r="J73" s="1652"/>
      <c r="K73" s="1652"/>
      <c r="L73" s="1652"/>
      <c r="M73" s="1484"/>
      <c r="N73" s="395"/>
      <c r="O73" s="395"/>
      <c r="P73" s="395"/>
      <c r="Q73" s="395"/>
      <c r="R73" s="395"/>
    </row>
    <row r="74" spans="2:18" x14ac:dyDescent="0.3">
      <c r="B74" s="413"/>
      <c r="C74" s="1496"/>
      <c r="D74" s="495"/>
      <c r="E74" s="820"/>
      <c r="F74" s="820"/>
      <c r="G74" s="1497"/>
      <c r="H74" s="395"/>
      <c r="I74" s="1652"/>
      <c r="J74" s="1652"/>
      <c r="K74" s="1652"/>
      <c r="L74" s="1652"/>
      <c r="M74" s="1484"/>
      <c r="N74" s="395"/>
      <c r="O74" s="395"/>
      <c r="P74" s="395"/>
      <c r="Q74" s="395"/>
      <c r="R74" s="395"/>
    </row>
    <row r="75" spans="2:18" x14ac:dyDescent="0.3">
      <c r="B75" s="413"/>
      <c r="C75" s="1496"/>
      <c r="D75" s="495"/>
      <c r="E75" s="820"/>
      <c r="F75" s="820"/>
      <c r="G75" s="1497"/>
      <c r="H75" s="395"/>
      <c r="I75" s="1652"/>
      <c r="J75" s="1652"/>
      <c r="K75" s="1652"/>
      <c r="L75" s="1652"/>
      <c r="M75" s="1484"/>
      <c r="N75" s="395"/>
      <c r="O75" s="395"/>
      <c r="P75" s="395"/>
      <c r="Q75" s="395"/>
      <c r="R75" s="395"/>
    </row>
    <row r="76" spans="2:18" x14ac:dyDescent="0.3">
      <c r="B76" s="413"/>
      <c r="C76" s="1496"/>
      <c r="D76" s="495"/>
      <c r="E76" s="820"/>
      <c r="F76" s="820"/>
      <c r="G76" s="1497"/>
      <c r="H76" s="395"/>
      <c r="I76" s="1652"/>
      <c r="J76" s="1652"/>
      <c r="K76" s="1652"/>
      <c r="L76" s="1652"/>
      <c r="M76" s="1484"/>
      <c r="N76" s="395"/>
      <c r="O76" s="395"/>
      <c r="P76" s="395"/>
      <c r="Q76" s="395"/>
      <c r="R76" s="395"/>
    </row>
    <row r="77" spans="2:18" x14ac:dyDescent="0.3">
      <c r="B77" s="413"/>
      <c r="C77" s="1496"/>
      <c r="D77" s="495"/>
      <c r="E77" s="820"/>
      <c r="F77" s="820"/>
      <c r="G77" s="1497"/>
      <c r="H77" s="395"/>
      <c r="I77" s="1652"/>
      <c r="J77" s="1652"/>
      <c r="K77" s="1652"/>
      <c r="L77" s="1652"/>
      <c r="M77" s="1484"/>
      <c r="N77" s="395"/>
      <c r="O77" s="395"/>
      <c r="P77" s="395"/>
      <c r="Q77" s="395"/>
      <c r="R77" s="395"/>
    </row>
    <row r="78" spans="2:18" x14ac:dyDescent="0.3">
      <c r="B78" s="413"/>
      <c r="C78" s="1496"/>
      <c r="D78" s="495"/>
      <c r="E78" s="820"/>
      <c r="F78" s="820"/>
      <c r="G78" s="1497"/>
      <c r="H78" s="395"/>
      <c r="I78" s="1652"/>
      <c r="J78" s="1652"/>
      <c r="K78" s="1652"/>
      <c r="L78" s="1652"/>
      <c r="M78" s="1484"/>
      <c r="N78" s="395"/>
      <c r="O78" s="395"/>
      <c r="P78" s="395"/>
      <c r="Q78" s="395"/>
      <c r="R78" s="395"/>
    </row>
    <row r="79" spans="2:18" x14ac:dyDescent="0.3">
      <c r="B79" s="413"/>
      <c r="C79" s="1496"/>
      <c r="D79" s="495"/>
      <c r="E79" s="820"/>
      <c r="F79" s="820"/>
      <c r="G79" s="1497"/>
      <c r="H79" s="395"/>
      <c r="I79" s="1652"/>
      <c r="J79" s="1652"/>
      <c r="K79" s="1652"/>
      <c r="L79" s="1652"/>
      <c r="M79" s="1484"/>
      <c r="N79" s="395"/>
      <c r="O79" s="395"/>
      <c r="P79" s="395"/>
      <c r="Q79" s="395"/>
      <c r="R79" s="395"/>
    </row>
    <row r="80" spans="2:18" x14ac:dyDescent="0.3">
      <c r="B80" s="413"/>
      <c r="C80" s="1496"/>
      <c r="D80" s="495"/>
      <c r="E80" s="820"/>
      <c r="F80" s="820"/>
      <c r="G80" s="1497"/>
      <c r="H80" s="395"/>
      <c r="I80" s="1652"/>
      <c r="J80" s="1652"/>
      <c r="K80" s="1652"/>
      <c r="L80" s="1652"/>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1942" t="s">
        <v>3288</v>
      </c>
      <c r="C7" s="1942"/>
      <c r="D7" s="1942"/>
      <c r="E7" s="1942"/>
      <c r="F7" s="1942"/>
      <c r="G7" s="1942"/>
    </row>
    <row r="8" spans="2:9" s="526" customFormat="1" x14ac:dyDescent="0.3"/>
    <row r="9" spans="2:9" ht="17.5" x14ac:dyDescent="0.35">
      <c r="B9" s="830" t="s">
        <v>2294</v>
      </c>
      <c r="C9" s="475"/>
      <c r="D9" s="475"/>
      <c r="E9" s="475"/>
      <c r="F9" s="475"/>
      <c r="G9" s="475"/>
      <c r="H9" s="475"/>
      <c r="I9" s="475"/>
    </row>
    <row r="10" spans="2:9" ht="68" customHeight="1" x14ac:dyDescent="0.3">
      <c r="B10" s="1702" t="s">
        <v>3287</v>
      </c>
      <c r="C10" s="1702"/>
      <c r="D10" s="1702"/>
      <c r="E10" s="1702"/>
      <c r="F10" s="1702"/>
      <c r="G10" s="1702"/>
    </row>
    <row r="11" spans="2:9" x14ac:dyDescent="0.3">
      <c r="B11" s="720" t="s">
        <v>183</v>
      </c>
      <c r="C11" s="720" t="s">
        <v>184</v>
      </c>
      <c r="D11" s="720" t="s">
        <v>185</v>
      </c>
      <c r="E11" s="720" t="s">
        <v>186</v>
      </c>
      <c r="G11" s="556"/>
    </row>
    <row r="12" spans="2:9" x14ac:dyDescent="0.3">
      <c r="B12" s="1103" t="s">
        <v>187</v>
      </c>
      <c r="C12" s="1104">
        <f>'2. Roles &amp; Pricing'!AD28</f>
        <v>678600</v>
      </c>
      <c r="D12" s="1104">
        <f>'2. Roles &amp; Pricing'!AE28</f>
        <v>237000</v>
      </c>
      <c r="E12" s="1105">
        <f>'2. Roles &amp; Pricing'!AF28</f>
        <v>252600</v>
      </c>
    </row>
    <row r="13" spans="2:9" x14ac:dyDescent="0.3">
      <c r="B13" s="1106" t="s">
        <v>1675</v>
      </c>
      <c r="C13" s="1095">
        <f>'2. Roles &amp; Pricing'!AD29</f>
        <v>301200</v>
      </c>
      <c r="D13" s="1095">
        <f>'2. Roles &amp; Pricing'!AE29</f>
        <v>94800</v>
      </c>
      <c r="E13" s="1107">
        <f>'2. Roles &amp; Pricing'!AF29</f>
        <v>109200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712530</v>
      </c>
      <c r="D16" s="1114">
        <f>IFERROR(IF(D14="Manual Entry",(D12+(D12*D15)),(D12+D14+(D12*D15))),"")</f>
        <v>248850</v>
      </c>
      <c r="E16" s="1115">
        <f>IFERROR(IF(E14="Manual Entry",(E12+(E12*E15)),(E12+E14+(E12*E15))),"")</f>
        <v>265230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0.55614500442086645</v>
      </c>
      <c r="D19" s="1116">
        <f>IFERROR((SUMIFS('2. Roles &amp; Pricing'!$D291:$D$390,'2. Roles &amp; Pricing'!AE$48:AE$147,"Yes")-SUMIFS('2. Roles &amp; Pricing'!$F$291:$F$390,'2. Roles &amp; Pricing'!AE$48:AE$147,"Yes"))/SUMIFS('2. Roles &amp; Pricing'!$D$291:$D$390,'2. Roles &amp; Pricing'!AE$48:AE$147,"Yes"),"")</f>
        <v>0.6</v>
      </c>
      <c r="E19" s="1117">
        <f>IFERROR((SUMIFS('2. Roles &amp; Pricing'!$D291:$D$390,'2. Roles &amp; Pricing'!AF$48:AF$147,"Yes")-SUMIFS('2. Roles &amp; Pricing'!$F$291:$F$390,'2. Roles &amp; Pricing'!AF$48:AF$147,"Yes"))/SUMIFS('2. Roles &amp; Pricing'!$D$291:$D$390,'2. Roles &amp; Pricing'!AF$48:AF$147,"Yes"),"")</f>
        <v>0.56769596199524941</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29.464285714285715</v>
      </c>
      <c r="D21" s="1099">
        <f>IFERROR((SUMIFS('2. Roles &amp; Pricing'!$D$291:$D$390,'2. Roles &amp; Pricing'!$W49:$W148,"Onshore",'2. Roles &amp; Pricing'!AE$48:AE$147,"Yes"))/SUMIFS('2. Roles &amp; Pricing'!$M$291:$M$390,'2. Roles &amp; Pricing'!$W$48:$W$147,"Onshore",'2. Roles &amp; Pricing'!AE$48:AE$147,"Yes"),"")</f>
        <v>27.5</v>
      </c>
      <c r="E21" s="1118">
        <f>IFERROR((SUMIFS('2. Roles &amp; Pricing'!$D$291:$D$390,'2. Roles &amp; Pricing'!$W49:$W148,"Onshore",'2. Roles &amp; Pricing'!AF$48:AF$147,"Yes"))/SUMIFS('2. Roles &amp; Pricing'!$M$291:$M$390,'2. Roles &amp; Pricing'!$W$48:$W$147,"Onshore",'2. Roles &amp; Pricing'!AF$48:AF$147,"Yes"),"")</f>
        <v>103.125</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58.372093023255815</v>
      </c>
      <c r="D23" s="1099">
        <f>'2. Roles &amp; Pricing'!AE30</f>
        <v>52.666666666666664</v>
      </c>
      <c r="E23" s="1118">
        <f>'2. Roles &amp; Pricing'!AF30</f>
        <v>39.565217391304351</v>
      </c>
    </row>
    <row r="24" spans="2:8" x14ac:dyDescent="0.3">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1944" t="s">
        <v>199</v>
      </c>
      <c r="C30" s="1945"/>
      <c r="D30" s="1945"/>
      <c r="E30" s="1945"/>
      <c r="F30" s="1945"/>
      <c r="G30" s="1945"/>
      <c r="H30" s="1946"/>
    </row>
    <row r="31" spans="2:8" x14ac:dyDescent="0.3">
      <c r="B31" s="1943" t="s">
        <v>200</v>
      </c>
      <c r="C31" s="1943" t="s">
        <v>43</v>
      </c>
      <c r="D31" s="1943"/>
      <c r="E31" s="1943" t="s">
        <v>44</v>
      </c>
      <c r="F31" s="1943"/>
      <c r="G31" s="1943" t="s">
        <v>45</v>
      </c>
      <c r="H31" s="1943"/>
    </row>
    <row r="32" spans="2:8" x14ac:dyDescent="0.3">
      <c r="B32" s="1943"/>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678600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252600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50" t="s">
        <v>1299</v>
      </c>
      <c r="B1" s="1650"/>
      <c r="C1" s="1650"/>
    </row>
    <row r="2" spans="1:34" s="469" customFormat="1" x14ac:dyDescent="0.3">
      <c r="A2" s="1650"/>
      <c r="B2" s="1650"/>
      <c r="C2" s="1650"/>
    </row>
    <row r="3" spans="1:34" x14ac:dyDescent="0.3">
      <c r="A3" s="2025" t="s">
        <v>232</v>
      </c>
      <c r="B3" s="2026"/>
      <c r="C3" s="2026"/>
      <c r="D3" s="2026"/>
      <c r="E3" s="2026"/>
      <c r="F3" s="2026"/>
      <c r="G3" s="202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27" t="s">
        <v>1192</v>
      </c>
      <c r="Y7" s="2027"/>
      <c r="Z7" s="2024" t="s">
        <v>1315</v>
      </c>
      <c r="AA7" s="2024"/>
      <c r="AB7" s="2024" t="s">
        <v>1316</v>
      </c>
      <c r="AC7" s="2024"/>
      <c r="AD7" s="2024" t="s">
        <v>1317</v>
      </c>
      <c r="AE7" s="2024"/>
      <c r="AF7" s="2024" t="s">
        <v>1318</v>
      </c>
      <c r="AG7" s="202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28" t="s">
        <v>1111</v>
      </c>
      <c r="C2" s="2028"/>
      <c r="D2" s="2028"/>
      <c r="E2" s="2028"/>
      <c r="F2" s="2028" t="s">
        <v>1112</v>
      </c>
      <c r="G2" s="202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29" t="s">
        <v>1163</v>
      </c>
      <c r="I2" s="202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35"/>
      <c r="B1" s="2035"/>
      <c r="C1" s="2035"/>
      <c r="D1" s="134"/>
      <c r="E1" s="134"/>
      <c r="F1" s="134"/>
      <c r="G1" s="134"/>
    </row>
    <row r="2" spans="1:9" ht="14.25" customHeight="1" x14ac:dyDescent="0.3">
      <c r="A2" s="2035"/>
      <c r="B2" s="2035"/>
      <c r="C2" s="2035"/>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33" t="s">
        <v>28</v>
      </c>
      <c r="C10" s="2039"/>
      <c r="D10" s="2039"/>
      <c r="E10" s="2034"/>
      <c r="F10" s="103"/>
      <c r="H10" s="2036"/>
      <c r="I10" s="2036"/>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33" t="s">
        <v>1276</v>
      </c>
      <c r="C22" s="2034"/>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33" t="s">
        <v>1278</v>
      </c>
      <c r="C30" s="2034"/>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37" t="s">
        <v>1282</v>
      </c>
      <c r="C39" s="2038"/>
      <c r="D39" s="2038"/>
      <c r="E39" s="2038"/>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33" t="s">
        <v>1284</v>
      </c>
      <c r="C48" s="2034"/>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33" t="s">
        <v>1287</v>
      </c>
      <c r="C56" s="2034"/>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30" t="s">
        <v>1290</v>
      </c>
      <c r="C64" s="2031"/>
      <c r="D64" s="2032"/>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3.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Katie Stevenson (Credera)</cp:lastModifiedBy>
  <cp:revision/>
  <dcterms:created xsi:type="dcterms:W3CDTF">2024-10-02T20:28:22Z</dcterms:created>
  <dcterms:modified xsi:type="dcterms:W3CDTF">2025-08-20T12:22:01Z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