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namedSheetViews/namedSheetView1.xml" ContentType="application/vnd.ms-excel.namedsheetview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namedSheetViews/namedSheetView2.xml" ContentType="application/vnd.ms-excel.namedsheetviews+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Users\katie.stevenson1\Downloads\"/>
    </mc:Choice>
  </mc:AlternateContent>
  <xr:revisionPtr revIDLastSave="0" documentId="8_{85B45E2B-71AA-4954-9C18-A4F4B9533ED7}" xr6:coauthVersionLast="47" xr6:coauthVersionMax="47" xr10:uidLastSave="{00000000-0000-0000-0000-000000000000}"/>
  <bookViews>
    <workbookView xWindow="-80" yWindow="-80" windowWidth="19360" windowHeight="11440" firstSheet="3" activeTab="7"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15" i="28" l="1"/>
  <c r="BQ16" i="28"/>
  <c r="BQ17" i="28"/>
  <c r="BQ18" i="28"/>
  <c r="BQ19" i="28"/>
  <c r="BQ20" i="28"/>
  <c r="BQ21" i="28"/>
  <c r="BQ22" i="28"/>
  <c r="BQ23" i="28"/>
  <c r="BQ24" i="28"/>
  <c r="BQ25" i="28"/>
  <c r="BQ26" i="28"/>
  <c r="BQ27" i="28"/>
  <c r="BQ28" i="28"/>
  <c r="BQ29" i="28"/>
  <c r="BQ30" i="28"/>
  <c r="BQ31" i="28"/>
  <c r="BQ32" i="28"/>
  <c r="BQ33" i="28"/>
  <c r="BQ15" i="28"/>
  <c r="BS16" i="28"/>
  <c r="BS17" i="28"/>
  <c r="BS18" i="28"/>
  <c r="BS19" i="28"/>
  <c r="BS20" i="28"/>
  <c r="BS21" i="28"/>
  <c r="BS22" i="28"/>
  <c r="BS23" i="28"/>
  <c r="BS24" i="28"/>
  <c r="BS25" i="28"/>
  <c r="BS26" i="28"/>
  <c r="BS27" i="28"/>
  <c r="BS28" i="28"/>
  <c r="BS29" i="28"/>
  <c r="BS30" i="28"/>
  <c r="BS31" i="28"/>
  <c r="BS32" i="28"/>
  <c r="BS15" i="28"/>
  <c r="BT35" i="28"/>
  <c r="H7" i="28"/>
  <c r="H5" i="28"/>
  <c r="O49" i="13" a="1"/>
  <c r="O49" i="13" s="1"/>
  <c r="O50" i="13" a="1"/>
  <c r="O50" i="13"/>
  <c r="O51" i="13" a="1"/>
  <c r="O51" i="13" s="1"/>
  <c r="O52" i="13" a="1"/>
  <c r="O52" i="13"/>
  <c r="O53" i="13" a="1"/>
  <c r="O53" i="13" s="1"/>
  <c r="O54" i="13" a="1"/>
  <c r="O54" i="13" s="1"/>
  <c r="O55" i="13" a="1"/>
  <c r="O55" i="13"/>
  <c r="O56" i="13" a="1"/>
  <c r="O56" i="13" s="1"/>
  <c r="O57" i="13" a="1"/>
  <c r="O57" i="13"/>
  <c r="O58" i="13" a="1"/>
  <c r="O58" i="13" s="1"/>
  <c r="O59" i="13" a="1"/>
  <c r="O59" i="13"/>
  <c r="O60" i="13" a="1"/>
  <c r="O60" i="13"/>
  <c r="O61" i="13" a="1"/>
  <c r="O61" i="13" s="1"/>
  <c r="O62" i="13" a="1"/>
  <c r="O62" i="13"/>
  <c r="O63" i="13" a="1"/>
  <c r="O63" i="13" s="1"/>
  <c r="O64" i="13" a="1"/>
  <c r="O64" i="13"/>
  <c r="O65" i="13" a="1"/>
  <c r="O65" i="13" s="1"/>
  <c r="O66" i="13" a="1"/>
  <c r="O66" i="13"/>
  <c r="O67" i="13" a="1"/>
  <c r="O67" i="13"/>
  <c r="O68" i="13" a="1"/>
  <c r="O68" i="13" s="1"/>
  <c r="O69" i="13" a="1"/>
  <c r="O69" i="13"/>
  <c r="O70" i="13" a="1"/>
  <c r="O70" i="13" s="1"/>
  <c r="O71" i="13" a="1"/>
  <c r="O71" i="13"/>
  <c r="O72" i="13" a="1"/>
  <c r="O72" i="13" s="1"/>
  <c r="O73" i="13" a="1"/>
  <c r="O73" i="13"/>
  <c r="O74" i="13" a="1"/>
  <c r="O74" i="13"/>
  <c r="O75" i="13" a="1"/>
  <c r="O75" i="13" s="1"/>
  <c r="O76" i="13" a="1"/>
  <c r="O76" i="13"/>
  <c r="O77" i="13" a="1"/>
  <c r="O77" i="13" s="1"/>
  <c r="O78" i="13" a="1"/>
  <c r="O78" i="13"/>
  <c r="O79" i="13" a="1"/>
  <c r="O79" i="13" s="1"/>
  <c r="O80" i="13" a="1"/>
  <c r="O80" i="13"/>
  <c r="O81" i="13" a="1"/>
  <c r="O81" i="13"/>
  <c r="O82" i="13" a="1"/>
  <c r="O82" i="13" s="1"/>
  <c r="O83" i="13" a="1"/>
  <c r="O83" i="13"/>
  <c r="O84" i="13" a="1"/>
  <c r="O84" i="13" s="1"/>
  <c r="O85" i="13" a="1"/>
  <c r="O85" i="13"/>
  <c r="O86" i="13" a="1"/>
  <c r="O86" i="13" s="1"/>
  <c r="O87" i="13" a="1"/>
  <c r="O87" i="13"/>
  <c r="O88" i="13" a="1"/>
  <c r="O88" i="13"/>
  <c r="O89" i="13" a="1"/>
  <c r="O89" i="13" s="1"/>
  <c r="O90" i="13" a="1"/>
  <c r="O90" i="13"/>
  <c r="O91" i="13" a="1"/>
  <c r="O91" i="13" s="1"/>
  <c r="O92" i="13" a="1"/>
  <c r="O92" i="13"/>
  <c r="O93" i="13" a="1"/>
  <c r="O93" i="13" s="1"/>
  <c r="O94" i="13" a="1"/>
  <c r="O94" i="13"/>
  <c r="O95" i="13" a="1"/>
  <c r="O95" i="13"/>
  <c r="O96" i="13" a="1"/>
  <c r="O96" i="13" s="1"/>
  <c r="O97" i="13" a="1"/>
  <c r="O97" i="13"/>
  <c r="O98" i="13" a="1"/>
  <c r="O98" i="13" s="1"/>
  <c r="O99" i="13" a="1"/>
  <c r="O99" i="13"/>
  <c r="O100" i="13" a="1"/>
  <c r="O100" i="13" s="1"/>
  <c r="O101" i="13" a="1"/>
  <c r="O101" i="13"/>
  <c r="O102" i="13" a="1"/>
  <c r="O102" i="13"/>
  <c r="O103" i="13" a="1"/>
  <c r="O103" i="13" s="1"/>
  <c r="O104" i="13" a="1"/>
  <c r="O104" i="13"/>
  <c r="O105" i="13" a="1"/>
  <c r="O105" i="13" s="1"/>
  <c r="O106" i="13" a="1"/>
  <c r="O106" i="13"/>
  <c r="O107" i="13" a="1"/>
  <c r="O107" i="13" s="1"/>
  <c r="O108" i="13" a="1"/>
  <c r="O108" i="13"/>
  <c r="O109" i="13" a="1"/>
  <c r="O109" i="13"/>
  <c r="O110" i="13" a="1"/>
  <c r="O110" i="13" s="1"/>
  <c r="O111" i="13" a="1"/>
  <c r="O111" i="13"/>
  <c r="O112" i="13" a="1"/>
  <c r="O112" i="13" s="1"/>
  <c r="O113" i="13" a="1"/>
  <c r="O113" i="13"/>
  <c r="O114" i="13" a="1"/>
  <c r="O114" i="13" s="1"/>
  <c r="O115" i="13" a="1"/>
  <c r="O115" i="13"/>
  <c r="O116" i="13" a="1"/>
  <c r="O116" i="13"/>
  <c r="O117" i="13" a="1"/>
  <c r="O117" i="13" s="1"/>
  <c r="O118" i="13" a="1"/>
  <c r="O118" i="13"/>
  <c r="O119" i="13" a="1"/>
  <c r="O119" i="13" s="1"/>
  <c r="O120" i="13" a="1"/>
  <c r="O120" i="13"/>
  <c r="O121" i="13" a="1"/>
  <c r="O121" i="13" s="1"/>
  <c r="O122" i="13" a="1"/>
  <c r="O122" i="13"/>
  <c r="O123" i="13" a="1"/>
  <c r="O123" i="13"/>
  <c r="O124" i="13" a="1"/>
  <c r="O124" i="13" s="1"/>
  <c r="O125" i="13" a="1"/>
  <c r="O125" i="13"/>
  <c r="O126" i="13" a="1"/>
  <c r="O126" i="13" s="1"/>
  <c r="O127" i="13" a="1"/>
  <c r="O127" i="13"/>
  <c r="O128" i="13" a="1"/>
  <c r="O128" i="13" s="1"/>
  <c r="O129" i="13" a="1"/>
  <c r="O129" i="13"/>
  <c r="O130" i="13" a="1"/>
  <c r="O130" i="13"/>
  <c r="O131" i="13" a="1"/>
  <c r="O131" i="13" s="1"/>
  <c r="O132" i="13" a="1"/>
  <c r="O132" i="13"/>
  <c r="O133" i="13" a="1"/>
  <c r="O133" i="13" s="1"/>
  <c r="O134" i="13" a="1"/>
  <c r="O134" i="13"/>
  <c r="O135" i="13" a="1"/>
  <c r="O135" i="13" s="1"/>
  <c r="O136" i="13" a="1"/>
  <c r="O136" i="13"/>
  <c r="O137" i="13" a="1"/>
  <c r="O137" i="13"/>
  <c r="O138" i="13" a="1"/>
  <c r="O138" i="13" s="1"/>
  <c r="O139" i="13" a="1"/>
  <c r="O139" i="13"/>
  <c r="O140" i="13" a="1"/>
  <c r="O140" i="13" s="1"/>
  <c r="O141" i="13" a="1"/>
  <c r="O141" i="13"/>
  <c r="O142" i="13" a="1"/>
  <c r="O142" i="13" s="1"/>
  <c r="O143" i="13" a="1"/>
  <c r="O143" i="13"/>
  <c r="O144" i="13" a="1"/>
  <c r="O144" i="13"/>
  <c r="O145" i="13" a="1"/>
  <c r="O145" i="13" s="1"/>
  <c r="O146" i="13" a="1"/>
  <c r="O146" i="13"/>
  <c r="O147" i="13" a="1"/>
  <c r="O147" i="13" s="1"/>
  <c r="Q16" i="28"/>
  <c r="P16" i="28"/>
  <c r="O16" i="28"/>
  <c r="N16"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141" i="13"/>
  <c r="W142" i="13"/>
  <c r="W143" i="13"/>
  <c r="W144" i="13"/>
  <c r="W145" i="13"/>
  <c r="W146" i="13"/>
  <c r="W147"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141" i="13"/>
  <c r="V142" i="13"/>
  <c r="V143" i="13"/>
  <c r="V144" i="13"/>
  <c r="V145" i="13"/>
  <c r="V146" i="13"/>
  <c r="V147" i="13"/>
  <c r="V48" i="13"/>
  <c r="N49" i="13" a="1"/>
  <c r="N49" i="13" s="1"/>
  <c r="N50" i="13" a="1"/>
  <c r="N50" i="13" s="1"/>
  <c r="N51" i="13" a="1"/>
  <c r="N51" i="13"/>
  <c r="N52" i="13" a="1"/>
  <c r="N52" i="13" s="1"/>
  <c r="N53" i="13" a="1"/>
  <c r="N53" i="13" s="1"/>
  <c r="N54" i="13" a="1"/>
  <c r="N54" i="13" s="1"/>
  <c r="N55" i="13" a="1"/>
  <c r="N55" i="13" s="1"/>
  <c r="N56" i="13" a="1"/>
  <c r="N56" i="13" s="1"/>
  <c r="N57" i="13" a="1"/>
  <c r="N57" i="13"/>
  <c r="N58" i="13" a="1"/>
  <c r="N58" i="13" s="1"/>
  <c r="N59" i="13" a="1"/>
  <c r="N59" i="13"/>
  <c r="N60" i="13" a="1"/>
  <c r="N60" i="13" s="1"/>
  <c r="N61" i="13" a="1"/>
  <c r="N61" i="13" s="1"/>
  <c r="N62" i="13" a="1"/>
  <c r="N62" i="13" s="1"/>
  <c r="N63" i="13" a="1"/>
  <c r="N63" i="13" s="1"/>
  <c r="N64" i="13" a="1"/>
  <c r="N64" i="13" s="1"/>
  <c r="N65" i="13" a="1"/>
  <c r="N65" i="13" s="1"/>
  <c r="N66" i="13" a="1"/>
  <c r="N66" i="13" s="1"/>
  <c r="N67" i="13" a="1"/>
  <c r="N67" i="13" s="1"/>
  <c r="N68" i="13" a="1"/>
  <c r="N68" i="13" s="1"/>
  <c r="N69" i="13" a="1"/>
  <c r="N69" i="13" s="1"/>
  <c r="N70" i="13" a="1"/>
  <c r="N70" i="13" s="1"/>
  <c r="N71" i="13" a="1"/>
  <c r="N71" i="13"/>
  <c r="N72" i="13" a="1"/>
  <c r="N72" i="13" s="1"/>
  <c r="N73" i="13" a="1"/>
  <c r="N73" i="13"/>
  <c r="N74" i="13" a="1"/>
  <c r="N74" i="13" s="1"/>
  <c r="N75" i="13" a="1"/>
  <c r="N75" i="13" s="1"/>
  <c r="N76" i="13" a="1"/>
  <c r="N76" i="13" s="1"/>
  <c r="N77" i="13" a="1"/>
  <c r="N77" i="13" s="1"/>
  <c r="N78" i="13" a="1"/>
  <c r="N78" i="13" s="1"/>
  <c r="N79" i="13" a="1"/>
  <c r="N79" i="13"/>
  <c r="N80" i="13" a="1"/>
  <c r="N80" i="13" s="1"/>
  <c r="N81" i="13" a="1"/>
  <c r="N81" i="13"/>
  <c r="N82" i="13" a="1"/>
  <c r="N82" i="13" s="1"/>
  <c r="N83" i="13" a="1"/>
  <c r="N83" i="13" s="1"/>
  <c r="N84" i="13" a="1"/>
  <c r="N84" i="13" s="1"/>
  <c r="N85" i="13" a="1"/>
  <c r="N85" i="13" s="1"/>
  <c r="N86" i="13" a="1"/>
  <c r="N86" i="13" s="1"/>
  <c r="N87" i="13" a="1"/>
  <c r="N87" i="13" s="1"/>
  <c r="N88" i="13" a="1"/>
  <c r="N88" i="13" s="1"/>
  <c r="N89" i="13" a="1"/>
  <c r="N89" i="13" s="1"/>
  <c r="N90" i="13" a="1"/>
  <c r="N90" i="13" s="1"/>
  <c r="N91" i="13" a="1"/>
  <c r="N91" i="13" s="1"/>
  <c r="N92" i="13" a="1"/>
  <c r="N92" i="13"/>
  <c r="N93" i="13" a="1"/>
  <c r="N93" i="13" s="1"/>
  <c r="N94" i="13" a="1"/>
  <c r="N94" i="13" s="1"/>
  <c r="N95" i="13" a="1"/>
  <c r="N95" i="13" s="1"/>
  <c r="N96" i="13" a="1"/>
  <c r="N96" i="13" s="1"/>
  <c r="N97" i="13" a="1"/>
  <c r="N97" i="13" s="1"/>
  <c r="N98" i="13" a="1"/>
  <c r="N98" i="13" s="1"/>
  <c r="N99" i="13" a="1"/>
  <c r="N99" i="13" s="1"/>
  <c r="N100" i="13" a="1"/>
  <c r="N100" i="13" s="1"/>
  <c r="N101" i="13" a="1"/>
  <c r="N101" i="13"/>
  <c r="N102" i="13" a="1"/>
  <c r="N102" i="13" s="1"/>
  <c r="N103" i="13" a="1"/>
  <c r="N103" i="13" s="1"/>
  <c r="N104" i="13" a="1"/>
  <c r="N104" i="13"/>
  <c r="N105" i="13" a="1"/>
  <c r="N105" i="13" s="1"/>
  <c r="N106" i="13" a="1"/>
  <c r="N106" i="13"/>
  <c r="N107" i="13" a="1"/>
  <c r="N107" i="13" s="1"/>
  <c r="N108" i="13" a="1"/>
  <c r="N108" i="13" s="1"/>
  <c r="N109" i="13" a="1"/>
  <c r="N109" i="13" s="1"/>
  <c r="N110" i="13" a="1"/>
  <c r="N110" i="13" s="1"/>
  <c r="N111" i="13" a="1"/>
  <c r="N111" i="13"/>
  <c r="N112" i="13" a="1"/>
  <c r="N112" i="13" s="1"/>
  <c r="N113" i="13" a="1"/>
  <c r="N113" i="13"/>
  <c r="N114" i="13" a="1"/>
  <c r="N114" i="13" s="1"/>
  <c r="N115" i="13" a="1"/>
  <c r="N115" i="13" s="1"/>
  <c r="N116" i="13" a="1"/>
  <c r="N116" i="13" s="1"/>
  <c r="N117" i="13" a="1"/>
  <c r="N117" i="13" s="1"/>
  <c r="N118" i="13" a="1"/>
  <c r="N118" i="13" s="1"/>
  <c r="N119" i="13" a="1"/>
  <c r="N119" i="13" s="1"/>
  <c r="N120" i="13" a="1"/>
  <c r="N120" i="13" s="1"/>
  <c r="N121" i="13" a="1"/>
  <c r="N121" i="13" s="1"/>
  <c r="N122" i="13" a="1"/>
  <c r="N122" i="13" s="1"/>
  <c r="N123" i="13" a="1"/>
  <c r="N123" i="13" s="1"/>
  <c r="N124" i="13" a="1"/>
  <c r="N124" i="13" s="1"/>
  <c r="N125" i="13" a="1"/>
  <c r="N125" i="13" s="1"/>
  <c r="N126" i="13" a="1"/>
  <c r="N126" i="13" s="1"/>
  <c r="N127" i="13" a="1"/>
  <c r="N127" i="13" s="1"/>
  <c r="N128" i="13" a="1"/>
  <c r="N128" i="13" s="1"/>
  <c r="N129" i="13" a="1"/>
  <c r="N129" i="13" s="1"/>
  <c r="N130" i="13" a="1"/>
  <c r="N130" i="13" s="1"/>
  <c r="N131" i="13" a="1"/>
  <c r="N131" i="13" s="1"/>
  <c r="N132" i="13" a="1"/>
  <c r="N132" i="13" s="1"/>
  <c r="N133" i="13" a="1"/>
  <c r="N133" i="13" s="1"/>
  <c r="N134" i="13" a="1"/>
  <c r="N134" i="13" s="1"/>
  <c r="N135" i="13" a="1"/>
  <c r="N135" i="13" s="1"/>
  <c r="N136" i="13" a="1"/>
  <c r="N136" i="13" s="1"/>
  <c r="N137" i="13" a="1"/>
  <c r="N137" i="13"/>
  <c r="N138" i="13" a="1"/>
  <c r="N138" i="13" s="1"/>
  <c r="N139" i="13" a="1"/>
  <c r="N139" i="13" s="1"/>
  <c r="N140" i="13" a="1"/>
  <c r="N140" i="13" s="1"/>
  <c r="N141" i="13" a="1"/>
  <c r="N141" i="13"/>
  <c r="N142" i="13" a="1"/>
  <c r="N142" i="13" s="1"/>
  <c r="N143" i="13" a="1"/>
  <c r="N143" i="13" s="1"/>
  <c r="N144" i="13" a="1"/>
  <c r="N144" i="13" s="1"/>
  <c r="N145" i="13" a="1"/>
  <c r="N145" i="13" s="1"/>
  <c r="N146" i="13" a="1"/>
  <c r="N146" i="13"/>
  <c r="N147" i="13" a="1"/>
  <c r="N147" i="13" s="1"/>
  <c r="N48" i="13" a="1"/>
  <c r="N48" i="13" s="1"/>
  <c r="I293" i="13" a="1"/>
  <c r="I293" i="13" s="1"/>
  <c r="I294" i="13" a="1"/>
  <c r="I294" i="13" s="1"/>
  <c r="I295" i="13" a="1"/>
  <c r="I295" i="13" s="1"/>
  <c r="I296" i="13" a="1"/>
  <c r="I296" i="13" s="1"/>
  <c r="I297" i="13" a="1"/>
  <c r="I297" i="13" s="1"/>
  <c r="I298" i="13" a="1"/>
  <c r="I298" i="13" s="1"/>
  <c r="I299" i="13" a="1"/>
  <c r="I299" i="13" s="1"/>
  <c r="I300" i="13" a="1"/>
  <c r="I300" i="13" s="1"/>
  <c r="I301" i="13" a="1"/>
  <c r="I301" i="13" s="1"/>
  <c r="I302" i="13" a="1"/>
  <c r="I302" i="13" s="1"/>
  <c r="I303" i="13" a="1"/>
  <c r="I303" i="13" s="1"/>
  <c r="I304" i="13" a="1"/>
  <c r="I304" i="13" s="1"/>
  <c r="I305" i="13" a="1"/>
  <c r="I305" i="13" s="1"/>
  <c r="I306" i="13" a="1"/>
  <c r="I306" i="13" s="1"/>
  <c r="I307" i="13" a="1"/>
  <c r="I307" i="13" s="1"/>
  <c r="I308" i="13" a="1"/>
  <c r="I308" i="13" s="1"/>
  <c r="I309" i="13" a="1"/>
  <c r="I309" i="13" s="1"/>
  <c r="I310" i="13" a="1"/>
  <c r="I310" i="13" s="1"/>
  <c r="I311" i="13" a="1"/>
  <c r="I311" i="13" s="1"/>
  <c r="I312" i="13" a="1"/>
  <c r="I312" i="13" s="1"/>
  <c r="I313" i="13" a="1"/>
  <c r="I313" i="13"/>
  <c r="I314" i="13" a="1"/>
  <c r="I314" i="13" s="1"/>
  <c r="I315" i="13" a="1"/>
  <c r="I315" i="13" s="1"/>
  <c r="I316" i="13" a="1"/>
  <c r="I316" i="13" s="1"/>
  <c r="I317" i="13" a="1"/>
  <c r="I317" i="13" s="1"/>
  <c r="I318" i="13" a="1"/>
  <c r="I318" i="13" s="1"/>
  <c r="I319" i="13" a="1"/>
  <c r="I319" i="13" s="1"/>
  <c r="I320" i="13" a="1"/>
  <c r="I320" i="13" s="1"/>
  <c r="I321" i="13" a="1"/>
  <c r="I321" i="13" s="1"/>
  <c r="I322" i="13" a="1"/>
  <c r="I322" i="13" s="1"/>
  <c r="I323" i="13" a="1"/>
  <c r="I323" i="13" s="1"/>
  <c r="I324" i="13" a="1"/>
  <c r="I324" i="13" s="1"/>
  <c r="I325" i="13" a="1"/>
  <c r="I325" i="13" s="1"/>
  <c r="I326" i="13" a="1"/>
  <c r="I326" i="13" s="1"/>
  <c r="I327" i="13" a="1"/>
  <c r="I327" i="13" s="1"/>
  <c r="I328" i="13" a="1"/>
  <c r="I328" i="13" s="1"/>
  <c r="I329" i="13" a="1"/>
  <c r="I329" i="13" s="1"/>
  <c r="I330" i="13" a="1"/>
  <c r="I330" i="13" s="1"/>
  <c r="I331" i="13" a="1"/>
  <c r="I331" i="13" s="1"/>
  <c r="I332" i="13" a="1"/>
  <c r="I332" i="13" s="1"/>
  <c r="I333" i="13" a="1"/>
  <c r="I333" i="13" s="1"/>
  <c r="I334" i="13" a="1"/>
  <c r="I334" i="13" s="1"/>
  <c r="I335" i="13" a="1"/>
  <c r="I335" i="13" s="1"/>
  <c r="I336" i="13" a="1"/>
  <c r="I336" i="13" s="1"/>
  <c r="I337" i="13" a="1"/>
  <c r="I337" i="13" s="1"/>
  <c r="I338" i="13" a="1"/>
  <c r="I338" i="13" s="1"/>
  <c r="I339" i="13" a="1"/>
  <c r="I339" i="13" s="1"/>
  <c r="I340" i="13" a="1"/>
  <c r="I340" i="13" s="1"/>
  <c r="I341" i="13" a="1"/>
  <c r="I341" i="13" s="1"/>
  <c r="I342" i="13" a="1"/>
  <c r="I342" i="13" s="1"/>
  <c r="I343" i="13" a="1"/>
  <c r="I343" i="13" s="1"/>
  <c r="I344" i="13" a="1"/>
  <c r="I344" i="13" s="1"/>
  <c r="I345" i="13" a="1"/>
  <c r="I345" i="13" s="1"/>
  <c r="I346" i="13" a="1"/>
  <c r="I346" i="13" s="1"/>
  <c r="I347" i="13" a="1"/>
  <c r="I347" i="13" s="1"/>
  <c r="I348" i="13" a="1"/>
  <c r="I348" i="13" s="1"/>
  <c r="I349" i="13" a="1"/>
  <c r="I349" i="13" s="1"/>
  <c r="I350" i="13" a="1"/>
  <c r="I350" i="13" s="1"/>
  <c r="I351" i="13" a="1"/>
  <c r="I351" i="13" s="1"/>
  <c r="I352" i="13" a="1"/>
  <c r="I352" i="13" s="1"/>
  <c r="I353" i="13" a="1"/>
  <c r="I353" i="13" s="1"/>
  <c r="I354" i="13" a="1"/>
  <c r="I354" i="13" s="1"/>
  <c r="I355" i="13" a="1"/>
  <c r="I355" i="13" s="1"/>
  <c r="I356" i="13" a="1"/>
  <c r="I356" i="13" s="1"/>
  <c r="I357" i="13" a="1"/>
  <c r="I357" i="13" s="1"/>
  <c r="I358" i="13" a="1"/>
  <c r="I358" i="13" s="1"/>
  <c r="I359" i="13" a="1"/>
  <c r="I359" i="13" s="1"/>
  <c r="I360" i="13" a="1"/>
  <c r="I360" i="13" s="1"/>
  <c r="I361" i="13" a="1"/>
  <c r="I361" i="13" s="1"/>
  <c r="I362" i="13" a="1"/>
  <c r="I362" i="13" s="1"/>
  <c r="I363" i="13" a="1"/>
  <c r="I363" i="13" s="1"/>
  <c r="I364" i="13" a="1"/>
  <c r="I364" i="13" s="1"/>
  <c r="I365" i="13" a="1"/>
  <c r="I365" i="13" s="1"/>
  <c r="I366" i="13" a="1"/>
  <c r="I366" i="13" s="1"/>
  <c r="I367" i="13" a="1"/>
  <c r="I367" i="13" s="1"/>
  <c r="I368" i="13" a="1"/>
  <c r="I368" i="13" s="1"/>
  <c r="I369" i="13" a="1"/>
  <c r="I369" i="13" s="1"/>
  <c r="I370" i="13" a="1"/>
  <c r="I370" i="13" s="1"/>
  <c r="I371" i="13" a="1"/>
  <c r="I371" i="13" s="1"/>
  <c r="I372" i="13" a="1"/>
  <c r="I372" i="13" s="1"/>
  <c r="I373" i="13" a="1"/>
  <c r="I373" i="13" s="1"/>
  <c r="I374" i="13" a="1"/>
  <c r="I374" i="13" s="1"/>
  <c r="I375" i="13" a="1"/>
  <c r="I375" i="13" s="1"/>
  <c r="I376" i="13" a="1"/>
  <c r="I376" i="13" s="1"/>
  <c r="I377" i="13" a="1"/>
  <c r="I377" i="13" s="1"/>
  <c r="I378" i="13" a="1"/>
  <c r="I378" i="13" s="1"/>
  <c r="I379" i="13" a="1"/>
  <c r="I379" i="13" s="1"/>
  <c r="I380" i="13" a="1"/>
  <c r="I380" i="13" s="1"/>
  <c r="I381" i="13" a="1"/>
  <c r="I381" i="13" s="1"/>
  <c r="I382" i="13" a="1"/>
  <c r="I382" i="13" s="1"/>
  <c r="I383" i="13" a="1"/>
  <c r="I383" i="13" s="1"/>
  <c r="I384" i="13" a="1"/>
  <c r="I384" i="13" s="1"/>
  <c r="I385" i="13" a="1"/>
  <c r="I385" i="13" s="1"/>
  <c r="I386" i="13" a="1"/>
  <c r="I386" i="13" s="1"/>
  <c r="I387" i="13" a="1"/>
  <c r="I387" i="13" s="1"/>
  <c r="I388" i="13" a="1"/>
  <c r="I388" i="13" s="1"/>
  <c r="I389" i="13" a="1"/>
  <c r="I389" i="13" s="1"/>
  <c r="I390" i="13" a="1"/>
  <c r="I390" i="13" s="1"/>
  <c r="I291" i="13" a="1"/>
  <c r="I291" i="13" s="1"/>
  <c r="I292" i="13" a="1"/>
  <c r="I292" i="13" s="1"/>
  <c r="K293" i="13" a="1"/>
  <c r="K293" i="13"/>
  <c r="K294" i="13" a="1"/>
  <c r="K294" i="13"/>
  <c r="K295" i="13" a="1"/>
  <c r="K295" i="13"/>
  <c r="K296" i="13" a="1"/>
  <c r="K296" i="13"/>
  <c r="K297" i="13" a="1"/>
  <c r="K297" i="13"/>
  <c r="K298" i="13" a="1"/>
  <c r="K298" i="13"/>
  <c r="K299" i="13" a="1"/>
  <c r="K299" i="13"/>
  <c r="K300" i="13" a="1"/>
  <c r="K300" i="13"/>
  <c r="K301" i="13" a="1"/>
  <c r="K301" i="13"/>
  <c r="K302" i="13" a="1"/>
  <c r="K302" i="13"/>
  <c r="K303" i="13" a="1"/>
  <c r="K303" i="13"/>
  <c r="K304" i="13" a="1"/>
  <c r="K304" i="13"/>
  <c r="K305" i="13" a="1"/>
  <c r="K305" i="13"/>
  <c r="K306" i="13" a="1"/>
  <c r="K306" i="13"/>
  <c r="K307" i="13" a="1"/>
  <c r="K307" i="13"/>
  <c r="K308" i="13" a="1"/>
  <c r="K308" i="13"/>
  <c r="K309" i="13" a="1"/>
  <c r="K309" i="13"/>
  <c r="K310" i="13" a="1"/>
  <c r="K310" i="13"/>
  <c r="K311" i="13" a="1"/>
  <c r="K311" i="13"/>
  <c r="K312" i="13" a="1"/>
  <c r="K312" i="13"/>
  <c r="K313" i="13" a="1"/>
  <c r="K313" i="13"/>
  <c r="K314" i="13" a="1"/>
  <c r="K314" i="13"/>
  <c r="K315" i="13" a="1"/>
  <c r="K315" i="13"/>
  <c r="K316" i="13" a="1"/>
  <c r="K316" i="13"/>
  <c r="K317" i="13" a="1"/>
  <c r="K317" i="13" s="1"/>
  <c r="K318" i="13" a="1"/>
  <c r="K318" i="13"/>
  <c r="K319" i="13" a="1"/>
  <c r="K319" i="13" s="1"/>
  <c r="K320" i="13" a="1"/>
  <c r="K320" i="13" s="1"/>
  <c r="K321" i="13" a="1"/>
  <c r="K321" i="13"/>
  <c r="K322" i="13" a="1"/>
  <c r="K322" i="13"/>
  <c r="K323" i="13" a="1"/>
  <c r="K323" i="13"/>
  <c r="K324" i="13" a="1"/>
  <c r="K324" i="13" s="1"/>
  <c r="K325" i="13" a="1"/>
  <c r="K325" i="13"/>
  <c r="K326" i="13" a="1"/>
  <c r="K326" i="13" s="1"/>
  <c r="K327" i="13" a="1"/>
  <c r="K327" i="13" s="1"/>
  <c r="K328" i="13" a="1"/>
  <c r="K328" i="13"/>
  <c r="K329" i="13" a="1"/>
  <c r="K329" i="13"/>
  <c r="K330" i="13" a="1"/>
  <c r="K330" i="13"/>
  <c r="K331" i="13" a="1"/>
  <c r="K331" i="13" s="1"/>
  <c r="K332" i="13" a="1"/>
  <c r="K332" i="13"/>
  <c r="K333" i="13" a="1"/>
  <c r="K333" i="13" s="1"/>
  <c r="K334" i="13" a="1"/>
  <c r="K334" i="13" s="1"/>
  <c r="K335" i="13" a="1"/>
  <c r="K335" i="13"/>
  <c r="K336" i="13" a="1"/>
  <c r="K336" i="13"/>
  <c r="K337" i="13" a="1"/>
  <c r="K337" i="13"/>
  <c r="K338" i="13" a="1"/>
  <c r="K338" i="13" s="1"/>
  <c r="K339" i="13" a="1"/>
  <c r="K339" i="13"/>
  <c r="K340" i="13" a="1"/>
  <c r="K340" i="13" s="1"/>
  <c r="K341" i="13" a="1"/>
  <c r="K341" i="13" s="1"/>
  <c r="K342" i="13" a="1"/>
  <c r="K342" i="13"/>
  <c r="K343" i="13" a="1"/>
  <c r="K343" i="13"/>
  <c r="K344" i="13" a="1"/>
  <c r="K344" i="13"/>
  <c r="K345" i="13" a="1"/>
  <c r="K345" i="13" s="1"/>
  <c r="K346" i="13" a="1"/>
  <c r="K346" i="13"/>
  <c r="K347" i="13" a="1"/>
  <c r="K347" i="13"/>
  <c r="K348" i="13" a="1"/>
  <c r="K348" i="13" s="1"/>
  <c r="K349" i="13" a="1"/>
  <c r="K349" i="13"/>
  <c r="K350" i="13" a="1"/>
  <c r="K350" i="13"/>
  <c r="K351" i="13" a="1"/>
  <c r="K351" i="13"/>
  <c r="K352" i="13" a="1"/>
  <c r="K352" i="13"/>
  <c r="K353" i="13" a="1"/>
  <c r="K353" i="13"/>
  <c r="K354" i="13" a="1"/>
  <c r="K354" i="13"/>
  <c r="K355" i="13" a="1"/>
  <c r="K355" i="13" s="1"/>
  <c r="K356" i="13" a="1"/>
  <c r="K356" i="13"/>
  <c r="K357" i="13" a="1"/>
  <c r="K357" i="13"/>
  <c r="K358" i="13" a="1"/>
  <c r="K358" i="13"/>
  <c r="K359" i="13" a="1"/>
  <c r="K359" i="13"/>
  <c r="K360" i="13" a="1"/>
  <c r="K360" i="13"/>
  <c r="K361" i="13" a="1"/>
  <c r="K361" i="13"/>
  <c r="K362" i="13" a="1"/>
  <c r="K362" i="13" s="1"/>
  <c r="K363" i="13" a="1"/>
  <c r="K363" i="13"/>
  <c r="K364" i="13" a="1"/>
  <c r="K364" i="13"/>
  <c r="K365" i="13" a="1"/>
  <c r="K365" i="13"/>
  <c r="K366" i="13" a="1"/>
  <c r="K366" i="13"/>
  <c r="K367" i="13" a="1"/>
  <c r="K367" i="13"/>
  <c r="K368" i="13" a="1"/>
  <c r="K368" i="13"/>
  <c r="K369" i="13" a="1"/>
  <c r="K369" i="13" s="1"/>
  <c r="K370" i="13" a="1"/>
  <c r="K370" i="13"/>
  <c r="K371" i="13" a="1"/>
  <c r="K371" i="13"/>
  <c r="K372" i="13" a="1"/>
  <c r="K372" i="13"/>
  <c r="K373" i="13" a="1"/>
  <c r="K373" i="13"/>
  <c r="K374" i="13" a="1"/>
  <c r="K374" i="13"/>
  <c r="K375" i="13" a="1"/>
  <c r="K375" i="13"/>
  <c r="K376" i="13" a="1"/>
  <c r="K376" i="13" s="1"/>
  <c r="K377" i="13" a="1"/>
  <c r="K377" i="13"/>
  <c r="K378" i="13" a="1"/>
  <c r="K378" i="13"/>
  <c r="K379" i="13" a="1"/>
  <c r="K379" i="13"/>
  <c r="K380" i="13" a="1"/>
  <c r="K380" i="13"/>
  <c r="K381" i="13" a="1"/>
  <c r="K381" i="13"/>
  <c r="K382" i="13" a="1"/>
  <c r="K382" i="13"/>
  <c r="K383" i="13" a="1"/>
  <c r="K383" i="13" s="1"/>
  <c r="K384" i="13" a="1"/>
  <c r="K384" i="13"/>
  <c r="K385" i="13" a="1"/>
  <c r="K385" i="13"/>
  <c r="K386" i="13" a="1"/>
  <c r="K386" i="13"/>
  <c r="K387" i="13" a="1"/>
  <c r="K387" i="13"/>
  <c r="K388" i="13" a="1"/>
  <c r="K388" i="13"/>
  <c r="K389" i="13" a="1"/>
  <c r="K389" i="13"/>
  <c r="K390" i="13" a="1"/>
  <c r="K390" i="13" s="1"/>
  <c r="K292" i="13" a="1"/>
  <c r="K292" i="13"/>
  <c r="K291" i="13" a="1"/>
  <c r="K291" i="13" s="1"/>
  <c r="O48" i="13" a="1"/>
  <c r="O48" i="13" s="1"/>
  <c r="H48" i="13"/>
  <c r="H49" i="13"/>
  <c r="H50" i="13"/>
  <c r="H51" i="13"/>
  <c r="H52" i="13"/>
  <c r="H53" i="13"/>
  <c r="H54" i="13"/>
  <c r="G48" i="13"/>
  <c r="G49" i="13"/>
  <c r="G50" i="13"/>
  <c r="G51" i="13"/>
  <c r="G52" i="13"/>
  <c r="G53" i="13"/>
  <c r="G54" i="13"/>
  <c r="E48" i="13"/>
  <c r="E49" i="13"/>
  <c r="E50" i="13"/>
  <c r="E51" i="13"/>
  <c r="E52" i="13"/>
  <c r="E53" i="13"/>
  <c r="E54" i="13"/>
  <c r="Y43" i="13"/>
  <c r="C115" i="10" l="1"/>
  <c r="C110" i="10"/>
  <c r="C112" i="10"/>
  <c r="C113" i="10"/>
  <c r="C114" i="10"/>
  <c r="I57" i="31"/>
  <c r="D2" i="34" l="1"/>
  <c r="B33" i="26"/>
  <c r="H6" i="28"/>
  <c r="C170"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62" i="13" a="1"/>
  <c r="G162" i="13" s="1"/>
  <c r="H162" i="13" a="1"/>
  <c r="H162" i="13" s="1"/>
  <c r="J162" i="13" a="1"/>
  <c r="J162" i="13" s="1"/>
  <c r="V162" i="13" a="1"/>
  <c r="V162" i="13" s="1"/>
  <c r="W162" i="13" a="1"/>
  <c r="W162" i="13" s="1"/>
  <c r="AG162" i="13" a="1"/>
  <c r="AG162" i="13" s="1"/>
  <c r="G163" i="13" a="1"/>
  <c r="G163" i="13" s="1"/>
  <c r="H163" i="13" a="1"/>
  <c r="H163" i="13" s="1"/>
  <c r="J163" i="13" a="1"/>
  <c r="J163" i="13" s="1"/>
  <c r="V163" i="13" a="1"/>
  <c r="V163" i="13" s="1"/>
  <c r="W163" i="13" a="1"/>
  <c r="W163" i="13" s="1"/>
  <c r="AG163" i="13" a="1"/>
  <c r="AG163" i="13" s="1"/>
  <c r="F164" i="13" a="1"/>
  <c r="F164" i="13" s="1"/>
  <c r="G164" i="13" a="1"/>
  <c r="G164" i="13" s="1"/>
  <c r="H164" i="13" a="1"/>
  <c r="H164" i="13" s="1"/>
  <c r="I164" i="13" a="1"/>
  <c r="I164" i="13" s="1"/>
  <c r="J164" i="13" a="1"/>
  <c r="J164" i="13" s="1"/>
  <c r="K164" i="13" a="1"/>
  <c r="K164" i="13" s="1"/>
  <c r="L164" i="13" a="1"/>
  <c r="L164" i="13" s="1"/>
  <c r="M164" i="13" a="1"/>
  <c r="M164" i="13" s="1"/>
  <c r="N164" i="13" a="1"/>
  <c r="N164" i="13" s="1"/>
  <c r="O164" i="13" a="1"/>
  <c r="O164" i="13" s="1"/>
  <c r="P164" i="13" a="1"/>
  <c r="P164" i="13" s="1"/>
  <c r="Q164" i="13" a="1"/>
  <c r="Q164" i="13" s="1"/>
  <c r="R164" i="13" a="1"/>
  <c r="R164" i="13" s="1"/>
  <c r="S164" i="13" a="1"/>
  <c r="S164" i="13" s="1"/>
  <c r="T164" i="13" a="1"/>
  <c r="T164" i="13" s="1"/>
  <c r="U164" i="13" a="1"/>
  <c r="U164" i="13" s="1"/>
  <c r="V164" i="13" a="1"/>
  <c r="V164" i="13" s="1"/>
  <c r="W164" i="13" a="1"/>
  <c r="W164" i="13" s="1"/>
  <c r="Y164" i="13" a="1"/>
  <c r="Y164" i="13" s="1"/>
  <c r="Z164" i="13" a="1"/>
  <c r="Z164" i="13" s="1"/>
  <c r="AA164" i="13" a="1"/>
  <c r="AA164" i="13" s="1"/>
  <c r="AB164" i="13" a="1"/>
  <c r="AB164" i="13" s="1"/>
  <c r="AG164" i="13" a="1"/>
  <c r="AG164" i="13" s="1"/>
  <c r="AH164" i="13" a="1"/>
  <c r="AH164" i="13" s="1"/>
  <c r="AI164" i="13" a="1"/>
  <c r="AI164" i="13" s="1"/>
  <c r="AJ164" i="13" a="1"/>
  <c r="AJ164" i="13" s="1"/>
  <c r="AK164" i="13" a="1"/>
  <c r="AK164" i="13" s="1"/>
  <c r="AL164" i="13" a="1"/>
  <c r="AL164" i="13" s="1"/>
  <c r="AM164" i="13" a="1"/>
  <c r="AM164" i="13" s="1"/>
  <c r="AN164" i="13" a="1"/>
  <c r="AN164" i="13" s="1"/>
  <c r="AO164" i="13" a="1"/>
  <c r="AO164" i="13" s="1"/>
  <c r="AP164" i="13" a="1"/>
  <c r="AP164" i="13" s="1"/>
  <c r="AQ164" i="13" a="1"/>
  <c r="AQ164" i="13" s="1"/>
  <c r="AR164" i="13" a="1"/>
  <c r="AR164" i="13" s="1"/>
  <c r="AS164" i="13" a="1"/>
  <c r="AS164" i="13" s="1"/>
  <c r="AT164" i="13" a="1"/>
  <c r="AT164" i="13" s="1"/>
  <c r="AU164" i="13" a="1"/>
  <c r="AU164" i="13" s="1"/>
  <c r="AV164" i="13" a="1"/>
  <c r="AV164" i="13" s="1"/>
  <c r="AW164" i="13" a="1"/>
  <c r="AW164" i="13" s="1"/>
  <c r="AX164" i="13" a="1"/>
  <c r="AX164" i="13" s="1"/>
  <c r="AY164" i="13" a="1"/>
  <c r="AY164" i="13" s="1"/>
  <c r="AZ164" i="13" a="1"/>
  <c r="AZ164" i="13" s="1"/>
  <c r="BA164" i="13" a="1"/>
  <c r="BA164" i="13" s="1"/>
  <c r="BB164" i="13" a="1"/>
  <c r="BB164" i="13" s="1"/>
  <c r="BC164" i="13" a="1"/>
  <c r="BC164" i="13" s="1"/>
  <c r="BD164" i="13" a="1"/>
  <c r="BD164" i="13" s="1"/>
  <c r="BE164" i="13" a="1"/>
  <c r="BE164" i="13" s="1"/>
  <c r="BF164" i="13" a="1"/>
  <c r="BF164" i="13" s="1"/>
  <c r="BG164" i="13" a="1"/>
  <c r="BG164" i="13" s="1"/>
  <c r="BH164" i="13" a="1"/>
  <c r="BH164" i="13" s="1"/>
  <c r="BI164" i="13" a="1"/>
  <c r="BI164" i="13" s="1"/>
  <c r="BJ164" i="13" a="1"/>
  <c r="BJ164" i="13" s="1"/>
  <c r="BK164" i="13" a="1"/>
  <c r="BK164" i="13" s="1"/>
  <c r="BL164" i="13" a="1"/>
  <c r="BL164" i="13" s="1"/>
  <c r="BM164" i="13" a="1"/>
  <c r="BM164" i="13" s="1"/>
  <c r="BN164" i="13" a="1"/>
  <c r="BN164" i="13" s="1"/>
  <c r="BO164" i="13" a="1"/>
  <c r="BO164" i="13" s="1"/>
  <c r="G165" i="13" a="1"/>
  <c r="G165" i="13" s="1"/>
  <c r="H165" i="13" a="1"/>
  <c r="H165" i="13" s="1"/>
  <c r="J165" i="13" a="1"/>
  <c r="J165" i="13" s="1"/>
  <c r="V165" i="13" a="1"/>
  <c r="V165" i="13" s="1"/>
  <c r="W165" i="13" a="1"/>
  <c r="W165" i="13" s="1"/>
  <c r="AG165" i="13" a="1"/>
  <c r="AG165" i="13" s="1"/>
  <c r="G161" i="13" a="1"/>
  <c r="G161" i="13" s="1"/>
  <c r="H161" i="13" a="1"/>
  <c r="H161" i="13" s="1"/>
  <c r="J161" i="13" a="1"/>
  <c r="J161" i="13" s="1"/>
  <c r="V161" i="13" a="1"/>
  <c r="V161" i="13" s="1"/>
  <c r="W161" i="13" a="1"/>
  <c r="W161" i="13" s="1"/>
  <c r="AG161" i="13" a="1"/>
  <c r="AG161" i="13" s="1"/>
  <c r="D170"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7" i="1"/>
  <c r="CU21" i="1"/>
  <c r="CU22" i="1"/>
  <c r="CU34" i="1"/>
  <c r="CU35" i="1"/>
  <c r="CU49" i="1"/>
  <c r="CU62" i="1"/>
  <c r="CU63" i="1"/>
  <c r="CU70" i="1"/>
  <c r="CU77" i="1"/>
  <c r="CU91" i="1"/>
  <c r="CU98" i="1"/>
  <c r="CU104" i="1"/>
  <c r="CU105" i="1"/>
  <c r="CU118" i="1"/>
  <c r="CU119" i="1"/>
  <c r="CU132" i="1"/>
  <c r="CU133" i="1"/>
  <c r="CU146" i="1"/>
  <c r="CU147" i="1"/>
  <c r="CU154" i="1"/>
  <c r="CU161" i="1"/>
  <c r="CU174" i="1"/>
  <c r="CU175" i="1"/>
  <c r="CU189" i="1"/>
  <c r="CU203" i="1"/>
  <c r="CU210" i="1"/>
  <c r="CU217" i="1"/>
  <c r="CU314" i="1"/>
  <c r="CU316" i="1"/>
  <c r="CU328" i="1"/>
  <c r="CU412" i="1"/>
  <c r="CU442" i="1"/>
  <c r="CU456" i="1"/>
  <c r="CU512" i="1"/>
  <c r="CU526" i="1"/>
  <c r="CU651"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330" i="1" l="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H142" i="13"/>
  <c r="H143" i="13"/>
  <c r="H144" i="13"/>
  <c r="H145" i="13"/>
  <c r="H146" i="13"/>
  <c r="H147" i="13"/>
  <c r="H148" i="13"/>
  <c r="F170" i="13" l="1"/>
  <c r="N15" i="28" s="1"/>
  <c r="I170" i="13"/>
  <c r="O15" i="28" s="1"/>
  <c r="M171" i="13"/>
  <c r="R16" i="28" s="1"/>
  <c r="N171"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E141" i="13"/>
  <c r="E142" i="13"/>
  <c r="E143" i="13"/>
  <c r="E144" i="13"/>
  <c r="E145" i="13"/>
  <c r="E146" i="13"/>
  <c r="E147"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141" i="13"/>
  <c r="G142" i="13"/>
  <c r="G143" i="13"/>
  <c r="G144" i="13"/>
  <c r="G145" i="13"/>
  <c r="G146" i="13"/>
  <c r="G147" i="13"/>
  <c r="G57" i="27" l="1"/>
  <c r="G58" i="27"/>
  <c r="G59" i="27"/>
  <c r="G60" i="27"/>
  <c r="G61" i="27"/>
  <c r="C39" i="27"/>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263" i="13"/>
  <c r="D264" i="13"/>
  <c r="D265" i="13"/>
  <c r="D266" i="13"/>
  <c r="D267" i="13"/>
  <c r="D268" i="13"/>
  <c r="D269" i="13"/>
  <c r="D174" i="13"/>
  <c r="D175" i="13"/>
  <c r="D176" i="13"/>
  <c r="D177" i="13"/>
  <c r="D178" i="13"/>
  <c r="D179" i="13"/>
  <c r="D180" i="13"/>
  <c r="D181" i="13"/>
  <c r="D182" i="13"/>
  <c r="D183" i="13"/>
  <c r="D184" i="13"/>
  <c r="D185" i="13"/>
  <c r="D186" i="13"/>
  <c r="D187" i="13"/>
  <c r="D188" i="13"/>
  <c r="D189" i="13"/>
  <c r="D190" i="13"/>
  <c r="D191" i="13"/>
  <c r="D192" i="13"/>
  <c r="D193" i="13"/>
  <c r="D194"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11" i="13"/>
  <c r="D412" i="13"/>
  <c r="D413" i="13"/>
  <c r="D414" i="13"/>
  <c r="D415" i="13"/>
  <c r="D416" i="13"/>
  <c r="D417" i="13"/>
  <c r="D418" i="13"/>
  <c r="D419" i="13"/>
  <c r="D420" i="13"/>
  <c r="C102" i="10"/>
  <c r="C101" i="10"/>
  <c r="C100" i="10"/>
  <c r="C90" i="10"/>
  <c r="C89" i="10"/>
  <c r="J3" i="34"/>
  <c r="B35" i="26"/>
  <c r="D401" i="13"/>
  <c r="E401" i="13" s="1"/>
  <c r="G272" i="13"/>
  <c r="J272" i="13"/>
  <c r="BN278" i="13"/>
  <c r="BN275" i="13"/>
  <c r="K146" i="9"/>
  <c r="K147" i="9"/>
  <c r="L147" i="9"/>
  <c r="K148" i="9"/>
  <c r="L148" i="9"/>
  <c r="K149" i="9"/>
  <c r="L149" i="9" s="1"/>
  <c r="K150" i="9"/>
  <c r="L150" i="9" s="1"/>
  <c r="K151" i="9"/>
  <c r="L151" i="9" s="1"/>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263" i="13"/>
  <c r="C264" i="13"/>
  <c r="C265" i="13"/>
  <c r="C266" i="13"/>
  <c r="C267" i="13"/>
  <c r="C268" i="13"/>
  <c r="C269" i="13"/>
  <c r="C171" i="13"/>
  <c r="AA268" i="13"/>
  <c r="E29" i="13"/>
  <c r="C22" i="10" s="1"/>
  <c r="E28" i="13"/>
  <c r="F158" i="13" s="1"/>
  <c r="I158" i="13" s="1"/>
  <c r="E27" i="13"/>
  <c r="E26" i="13"/>
  <c r="E25" i="13"/>
  <c r="C19" i="10" s="1"/>
  <c r="E24" i="13"/>
  <c r="C18" i="10" s="1"/>
  <c r="C17" i="10"/>
  <c r="E22" i="13"/>
  <c r="C16" i="10" s="1"/>
  <c r="E21" i="13"/>
  <c r="C15" i="10" s="1"/>
  <c r="E20" i="13"/>
  <c r="C14" i="10" s="1"/>
  <c r="E19" i="13"/>
  <c r="C13" i="10" s="1"/>
  <c r="E18" i="13"/>
  <c r="C12" i="10" s="1"/>
  <c r="F166" i="13" l="1"/>
  <c r="F201" i="13"/>
  <c r="AA267" i="13"/>
  <c r="K201" i="13"/>
  <c r="K196" i="13"/>
  <c r="N186" i="13"/>
  <c r="Q251" i="13"/>
  <c r="AV248" i="13"/>
  <c r="Q236" i="13"/>
  <c r="F208" i="13"/>
  <c r="R170" i="13"/>
  <c r="K208" i="13"/>
  <c r="Z231" i="13"/>
  <c r="K200" i="13"/>
  <c r="BK257" i="13"/>
  <c r="N188" i="13"/>
  <c r="AW248" i="13"/>
  <c r="F207" i="13"/>
  <c r="R265" i="13"/>
  <c r="AA261" i="13"/>
  <c r="N267" i="13"/>
  <c r="N253" i="13"/>
  <c r="AR256" i="13"/>
  <c r="F202" i="13"/>
  <c r="BC182" i="13"/>
  <c r="BA27" i="28" s="1"/>
  <c r="AJ210" i="13"/>
  <c r="BB229" i="13"/>
  <c r="AU241" i="13"/>
  <c r="BC249" i="13"/>
  <c r="AH259" i="13"/>
  <c r="BE267" i="13"/>
  <c r="Y186" i="13"/>
  <c r="AA31" i="28" s="1"/>
  <c r="AB231" i="13"/>
  <c r="AB170" i="13"/>
  <c r="AD15" i="28" s="1"/>
  <c r="U241" i="13"/>
  <c r="S215" i="13"/>
  <c r="R207" i="13"/>
  <c r="Q179" i="13"/>
  <c r="Q257" i="13"/>
  <c r="P242" i="13"/>
  <c r="O224" i="13"/>
  <c r="N209" i="13"/>
  <c r="M181" i="13"/>
  <c r="R26" i="28" s="1"/>
  <c r="M261" i="13"/>
  <c r="L246" i="13"/>
  <c r="K222" i="13"/>
  <c r="I193" i="13"/>
  <c r="I253" i="13"/>
  <c r="F214" i="13"/>
  <c r="AL211" i="13"/>
  <c r="AK231" i="13"/>
  <c r="AZ241" i="13"/>
  <c r="AM251" i="13"/>
  <c r="AU259" i="13"/>
  <c r="BI267" i="13"/>
  <c r="Y191" i="13"/>
  <c r="AA243" i="13"/>
  <c r="T176" i="13"/>
  <c r="T242" i="13"/>
  <c r="S220" i="13"/>
  <c r="R208" i="13"/>
  <c r="Q193" i="13"/>
  <c r="Q265" i="13"/>
  <c r="P244" i="13"/>
  <c r="O229" i="13"/>
  <c r="N210" i="13"/>
  <c r="M196" i="13"/>
  <c r="M268" i="13"/>
  <c r="L247" i="13"/>
  <c r="K227" i="13"/>
  <c r="I200" i="13"/>
  <c r="I257" i="13"/>
  <c r="F221" i="13"/>
  <c r="AU234" i="13"/>
  <c r="L189" i="13"/>
  <c r="Q34" i="28" s="1"/>
  <c r="BF234" i="13"/>
  <c r="AY245" i="13"/>
  <c r="BM262" i="13"/>
  <c r="AA255" i="13"/>
  <c r="T264" i="13"/>
  <c r="Q221" i="13"/>
  <c r="M225" i="13"/>
  <c r="F181" i="13"/>
  <c r="N26" i="28" s="1"/>
  <c r="AL190" i="13"/>
  <c r="AU219" i="13"/>
  <c r="BL234" i="13"/>
  <c r="BF245" i="13"/>
  <c r="BN254" i="13"/>
  <c r="AT264" i="13"/>
  <c r="AU170" i="13"/>
  <c r="AS15" i="28" s="1"/>
  <c r="AB213" i="13"/>
  <c r="AB255" i="13"/>
  <c r="T212" i="13"/>
  <c r="T268" i="13"/>
  <c r="S253" i="13"/>
  <c r="R241" i="13"/>
  <c r="Q222" i="13"/>
  <c r="P208" i="13"/>
  <c r="O180" i="13"/>
  <c r="O259" i="13"/>
  <c r="N244" i="13"/>
  <c r="M226" i="13"/>
  <c r="L211" i="13"/>
  <c r="K182" i="13"/>
  <c r="P27" i="28" s="1"/>
  <c r="K254" i="13"/>
  <c r="I226" i="13"/>
  <c r="F182" i="13"/>
  <c r="N27" i="28" s="1"/>
  <c r="F247" i="13"/>
  <c r="BA211" i="13"/>
  <c r="AU231" i="13"/>
  <c r="BO242" i="13"/>
  <c r="BN251" i="13"/>
  <c r="AP261" i="13"/>
  <c r="AR268" i="13"/>
  <c r="Y194" i="13"/>
  <c r="AA244" i="13"/>
  <c r="T188" i="13"/>
  <c r="T248" i="13"/>
  <c r="S221" i="13"/>
  <c r="R212" i="13"/>
  <c r="Q194" i="13"/>
  <c r="P179" i="13"/>
  <c r="P251" i="13"/>
  <c r="O231" i="13"/>
  <c r="N216" i="13"/>
  <c r="M197" i="13"/>
  <c r="L183" i="13"/>
  <c r="Q28" i="28" s="1"/>
  <c r="L255" i="13"/>
  <c r="K228" i="13"/>
  <c r="I201" i="13"/>
  <c r="I259" i="13"/>
  <c r="F228" i="13"/>
  <c r="AM219" i="13"/>
  <c r="AS253" i="13"/>
  <c r="BD262" i="13"/>
  <c r="AJ170" i="13"/>
  <c r="AH15" i="28" s="1"/>
  <c r="AA207" i="13"/>
  <c r="AA249" i="13"/>
  <c r="T194" i="13"/>
  <c r="U263" i="13"/>
  <c r="S247" i="13"/>
  <c r="Q207" i="13"/>
  <c r="P187" i="13"/>
  <c r="O172" i="13"/>
  <c r="N239" i="13"/>
  <c r="K174" i="13"/>
  <c r="P19" i="28" s="1"/>
  <c r="I213" i="13"/>
  <c r="F234" i="13"/>
  <c r="AN219" i="13"/>
  <c r="Y209" i="13"/>
  <c r="S252" i="13"/>
  <c r="P193" i="13"/>
  <c r="O258" i="13"/>
  <c r="L197" i="13"/>
  <c r="I219" i="13"/>
  <c r="BB191" i="13"/>
  <c r="BN223" i="13"/>
  <c r="BJ235" i="13"/>
  <c r="AX246" i="13"/>
  <c r="BI255" i="13"/>
  <c r="AW264" i="13"/>
  <c r="AA215" i="13"/>
  <c r="Z258" i="13"/>
  <c r="U212" i="13"/>
  <c r="S181" i="13"/>
  <c r="S261" i="13"/>
  <c r="R243" i="13"/>
  <c r="Q228" i="13"/>
  <c r="P209" i="13"/>
  <c r="O195" i="13"/>
  <c r="O267" i="13"/>
  <c r="N245" i="13"/>
  <c r="M230" i="13"/>
  <c r="L212" i="13"/>
  <c r="K195" i="13"/>
  <c r="K260" i="13"/>
  <c r="I227" i="13"/>
  <c r="F188" i="13"/>
  <c r="N33" i="28" s="1"/>
  <c r="F254" i="13"/>
  <c r="BL193" i="13"/>
  <c r="AP224" i="13"/>
  <c r="BM237" i="13"/>
  <c r="BL246" i="13"/>
  <c r="AQ256" i="13"/>
  <c r="AX265" i="13"/>
  <c r="Y216" i="13"/>
  <c r="AA258" i="13"/>
  <c r="U217" i="13"/>
  <c r="S182" i="13"/>
  <c r="R177" i="13"/>
  <c r="R249" i="13"/>
  <c r="Q229" i="13"/>
  <c r="P214" i="13"/>
  <c r="BN215" i="13"/>
  <c r="AV231" i="13"/>
  <c r="AG243" i="13"/>
  <c r="AW252" i="13"/>
  <c r="BF261" i="13"/>
  <c r="AT269" i="13"/>
  <c r="Z194" i="13"/>
  <c r="Z246" i="13"/>
  <c r="T190" i="13"/>
  <c r="U259" i="13"/>
  <c r="S229" i="13"/>
  <c r="R213" i="13"/>
  <c r="Q198" i="13"/>
  <c r="P180" i="13"/>
  <c r="P265" i="13"/>
  <c r="O237" i="13"/>
  <c r="N217" i="13"/>
  <c r="M202" i="13"/>
  <c r="L184" i="13"/>
  <c r="Q29" i="28" s="1"/>
  <c r="L269" i="13"/>
  <c r="K234" i="13"/>
  <c r="I205" i="13"/>
  <c r="I265" i="13"/>
  <c r="F229" i="13"/>
  <c r="L170" i="13"/>
  <c r="Q15" i="28" s="1"/>
  <c r="K247" i="13"/>
  <c r="I206" i="13"/>
  <c r="F175" i="13"/>
  <c r="N20" i="28" s="1"/>
  <c r="F233" i="13"/>
  <c r="AR245" i="13"/>
  <c r="R235" i="13"/>
  <c r="O253" i="13"/>
  <c r="M211" i="13"/>
  <c r="K248" i="13"/>
  <c r="F176" i="13"/>
  <c r="N21" i="28" s="1"/>
  <c r="BB178" i="13"/>
  <c r="AZ23" i="28" s="1"/>
  <c r="BM254" i="13"/>
  <c r="AP170" i="13"/>
  <c r="AN15" i="28" s="1"/>
  <c r="T200" i="13"/>
  <c r="R236" i="13"/>
  <c r="O173" i="13"/>
  <c r="N240" i="13"/>
  <c r="K175" i="13"/>
  <c r="P20" i="28" s="1"/>
  <c r="K253" i="13"/>
  <c r="F241" i="13"/>
  <c r="AI171" i="13"/>
  <c r="AG16" i="28" s="1"/>
  <c r="BO215" i="13"/>
  <c r="AT233" i="13"/>
  <c r="AP243" i="13"/>
  <c r="BA252" i="13"/>
  <c r="BO261" i="13"/>
  <c r="AU269" i="13"/>
  <c r="AA198" i="13"/>
  <c r="AA246" i="13"/>
  <c r="U193" i="13"/>
  <c r="U260" i="13"/>
  <c r="S245" i="13"/>
  <c r="R221" i="13"/>
  <c r="Q200" i="13"/>
  <c r="P185" i="13"/>
  <c r="P266" i="13"/>
  <c r="O252" i="13"/>
  <c r="N224" i="13"/>
  <c r="M203" i="13"/>
  <c r="L188" i="13"/>
  <c r="Q33" i="28" s="1"/>
  <c r="AN171" i="13"/>
  <c r="AL16" i="28" s="1"/>
  <c r="AO206" i="13"/>
  <c r="BO226" i="13"/>
  <c r="BE239" i="13"/>
  <c r="AW249" i="13"/>
  <c r="BN257" i="13"/>
  <c r="BK206" i="13"/>
  <c r="BA229" i="13"/>
  <c r="BK239" i="13"/>
  <c r="BB249" i="13"/>
  <c r="BO258" i="13"/>
  <c r="AV267" i="13"/>
  <c r="AB177" i="13"/>
  <c r="AD22" i="28" s="1"/>
  <c r="AA231" i="13"/>
  <c r="AA170" i="13"/>
  <c r="AC15" i="28" s="1"/>
  <c r="T238" i="13"/>
  <c r="S213" i="13"/>
  <c r="R192" i="13"/>
  <c r="Q171" i="13"/>
  <c r="Q256" i="13"/>
  <c r="P238" i="13"/>
  <c r="O223" i="13"/>
  <c r="N195" i="13"/>
  <c r="M175" i="13"/>
  <c r="R20" i="28" s="1"/>
  <c r="M260" i="13"/>
  <c r="L241" i="13"/>
  <c r="K221" i="13"/>
  <c r="I187" i="13"/>
  <c r="O32" i="28" s="1"/>
  <c r="L240" i="13"/>
  <c r="N182" i="13"/>
  <c r="L225" i="13"/>
  <c r="N181" i="13"/>
  <c r="R185" i="13"/>
  <c r="AA224" i="13"/>
  <c r="I239" i="13"/>
  <c r="L217" i="13"/>
  <c r="O201" i="13"/>
  <c r="R178" i="13"/>
  <c r="Y177" i="13"/>
  <c r="AA22" i="28" s="1"/>
  <c r="AG225" i="13"/>
  <c r="I232" i="13"/>
  <c r="M254" i="13"/>
  <c r="O200" i="13"/>
  <c r="S197" i="13"/>
  <c r="AS198" i="13"/>
  <c r="I231" i="13"/>
  <c r="M253" i="13"/>
  <c r="O196" i="13"/>
  <c r="S189" i="13"/>
  <c r="AN198" i="13"/>
  <c r="F195" i="13"/>
  <c r="AS239" i="13"/>
  <c r="AO238" i="13"/>
  <c r="I245" i="13"/>
  <c r="O209" i="13"/>
  <c r="BB226" i="13"/>
  <c r="F267" i="13"/>
  <c r="I180" i="13"/>
  <c r="O25" i="28" s="1"/>
  <c r="M239" i="13"/>
  <c r="P237" i="13"/>
  <c r="S188" i="13"/>
  <c r="I252" i="13"/>
  <c r="Y225" i="13"/>
  <c r="L219" i="13"/>
  <c r="R184" i="13"/>
  <c r="AA177" i="13"/>
  <c r="AC22" i="28" s="1"/>
  <c r="F260" i="13"/>
  <c r="I179" i="13"/>
  <c r="O24" i="28" s="1"/>
  <c r="M232" i="13"/>
  <c r="P223" i="13"/>
  <c r="T236" i="13"/>
  <c r="BH266" i="13"/>
  <c r="F259" i="13"/>
  <c r="I175" i="13"/>
  <c r="O20" i="28" s="1"/>
  <c r="M173" i="13"/>
  <c r="R18" i="28" s="1"/>
  <c r="P215" i="13"/>
  <c r="T224" i="13"/>
  <c r="BC265" i="13"/>
  <c r="R264" i="13"/>
  <c r="F255" i="13"/>
  <c r="I173" i="13"/>
  <c r="O18" i="28" s="1"/>
  <c r="N268" i="13"/>
  <c r="Q252" i="13"/>
  <c r="T218" i="13"/>
  <c r="BA265" i="13"/>
  <c r="F258" i="13"/>
  <c r="F232" i="13"/>
  <c r="F206" i="13"/>
  <c r="F180" i="13"/>
  <c r="N25" i="28" s="1"/>
  <c r="I256" i="13"/>
  <c r="I230" i="13"/>
  <c r="I204" i="13"/>
  <c r="I178" i="13"/>
  <c r="O23" i="28" s="1"/>
  <c r="K252" i="13"/>
  <c r="K225" i="13"/>
  <c r="K199" i="13"/>
  <c r="K173" i="13"/>
  <c r="P18" i="28" s="1"/>
  <c r="L245" i="13"/>
  <c r="L216" i="13"/>
  <c r="L187" i="13"/>
  <c r="Q32" i="28" s="1"/>
  <c r="M259" i="13"/>
  <c r="M229" i="13"/>
  <c r="M201" i="13"/>
  <c r="M172" i="13"/>
  <c r="R17" i="28" s="1"/>
  <c r="N243" i="13"/>
  <c r="N215" i="13"/>
  <c r="N185" i="13"/>
  <c r="O257" i="13"/>
  <c r="O228" i="13"/>
  <c r="O199" i="13"/>
  <c r="O171" i="13"/>
  <c r="P241" i="13"/>
  <c r="P213" i="13"/>
  <c r="P184" i="13"/>
  <c r="Q255" i="13"/>
  <c r="Q227" i="13"/>
  <c r="Q197" i="13"/>
  <c r="R269" i="13"/>
  <c r="R240" i="13"/>
  <c r="R211" i="13"/>
  <c r="R183" i="13"/>
  <c r="S251" i="13"/>
  <c r="S218" i="13"/>
  <c r="S187" i="13"/>
  <c r="T263" i="13"/>
  <c r="T240" i="13"/>
  <c r="T217" i="13"/>
  <c r="T193" i="13"/>
  <c r="AA269" i="13"/>
  <c r="Y258" i="13"/>
  <c r="Y246" i="13"/>
  <c r="Y231" i="13"/>
  <c r="AA209" i="13"/>
  <c r="AB192" i="13"/>
  <c r="AB174" i="13"/>
  <c r="AD19" i="28" s="1"/>
  <c r="AZ269" i="13"/>
  <c r="BD267" i="13"/>
  <c r="AN265" i="13"/>
  <c r="BI261" i="13"/>
  <c r="BL258" i="13"/>
  <c r="AK255" i="13"/>
  <c r="AT252" i="13"/>
  <c r="AQ249" i="13"/>
  <c r="BE245" i="13"/>
  <c r="BN242" i="13"/>
  <c r="AY238" i="13"/>
  <c r="BE234" i="13"/>
  <c r="BH230" i="13"/>
  <c r="BO224" i="13"/>
  <c r="BL218" i="13"/>
  <c r="AM207" i="13"/>
  <c r="BM192" i="13"/>
  <c r="AH171" i="13"/>
  <c r="AF16" i="28" s="1"/>
  <c r="F257" i="13"/>
  <c r="F231" i="13"/>
  <c r="F205" i="13"/>
  <c r="F178" i="13"/>
  <c r="N23" i="28" s="1"/>
  <c r="I255" i="13"/>
  <c r="I229" i="13"/>
  <c r="I203" i="13"/>
  <c r="I177" i="13"/>
  <c r="O22" i="28" s="1"/>
  <c r="K251" i="13"/>
  <c r="K224" i="13"/>
  <c r="K198" i="13"/>
  <c r="K172" i="13"/>
  <c r="P17" i="28" s="1"/>
  <c r="L244" i="13"/>
  <c r="L214" i="13"/>
  <c r="L186" i="13"/>
  <c r="Q31" i="28" s="1"/>
  <c r="M257" i="13"/>
  <c r="M228" i="13"/>
  <c r="M200" i="13"/>
  <c r="N170" i="13"/>
  <c r="N242" i="13"/>
  <c r="N213" i="13"/>
  <c r="N184" i="13"/>
  <c r="O256" i="13"/>
  <c r="O226" i="13"/>
  <c r="O198" i="13"/>
  <c r="P269" i="13"/>
  <c r="P240" i="13"/>
  <c r="P212" i="13"/>
  <c r="P182" i="13"/>
  <c r="Q254" i="13"/>
  <c r="Q225" i="13"/>
  <c r="Q196" i="13"/>
  <c r="R268" i="13"/>
  <c r="R238" i="13"/>
  <c r="R210" i="13"/>
  <c r="R181" i="13"/>
  <c r="S249" i="13"/>
  <c r="S217" i="13"/>
  <c r="S185" i="13"/>
  <c r="U261" i="13"/>
  <c r="U239" i="13"/>
  <c r="U215" i="13"/>
  <c r="U191" i="13"/>
  <c r="Z269" i="13"/>
  <c r="Z257" i="13"/>
  <c r="Z245" i="13"/>
  <c r="Y230" i="13"/>
  <c r="Z209" i="13"/>
  <c r="Z192" i="13"/>
  <c r="AW269" i="13"/>
  <c r="BC267" i="13"/>
  <c r="AY264" i="13"/>
  <c r="BH261" i="13"/>
  <c r="BH258" i="13"/>
  <c r="AJ255" i="13"/>
  <c r="AS252" i="13"/>
  <c r="AX248" i="13"/>
  <c r="BB245" i="13"/>
  <c r="AU242" i="13"/>
  <c r="AX238" i="13"/>
  <c r="AZ234" i="13"/>
  <c r="BD229" i="13"/>
  <c r="BM224" i="13"/>
  <c r="AT218" i="13"/>
  <c r="AL207" i="13"/>
  <c r="BL192" i="13"/>
  <c r="AG171" i="13"/>
  <c r="AE16" i="28" s="1"/>
  <c r="K267" i="13"/>
  <c r="K241" i="13"/>
  <c r="K215" i="13"/>
  <c r="K188" i="13"/>
  <c r="P33" i="28" s="1"/>
  <c r="L233" i="13"/>
  <c r="L204" i="13"/>
  <c r="L175" i="13"/>
  <c r="Q20" i="28" s="1"/>
  <c r="M217" i="13"/>
  <c r="N231" i="13"/>
  <c r="S237" i="13"/>
  <c r="F246" i="13"/>
  <c r="F220" i="13"/>
  <c r="F194" i="13"/>
  <c r="I244" i="13"/>
  <c r="I218" i="13"/>
  <c r="I192" i="13"/>
  <c r="K266" i="13"/>
  <c r="K240" i="13"/>
  <c r="K213" i="13"/>
  <c r="K187" i="13"/>
  <c r="P32" i="28" s="1"/>
  <c r="L260" i="13"/>
  <c r="L232" i="13"/>
  <c r="L202" i="13"/>
  <c r="L174" i="13"/>
  <c r="Q19" i="28" s="1"/>
  <c r="M245" i="13"/>
  <c r="M216" i="13"/>
  <c r="M188" i="13"/>
  <c r="R33" i="28" s="1"/>
  <c r="N258" i="13"/>
  <c r="N230" i="13"/>
  <c r="N201" i="13"/>
  <c r="N172" i="13"/>
  <c r="O244" i="13"/>
  <c r="O214" i="13"/>
  <c r="O186" i="13"/>
  <c r="P257" i="13"/>
  <c r="P228" i="13"/>
  <c r="P200" i="13"/>
  <c r="Q170" i="13"/>
  <c r="Q242" i="13"/>
  <c r="Q213" i="13"/>
  <c r="Q184" i="13"/>
  <c r="R256" i="13"/>
  <c r="R226" i="13"/>
  <c r="R198" i="13"/>
  <c r="S268" i="13"/>
  <c r="S236" i="13"/>
  <c r="S204" i="13"/>
  <c r="S172" i="13"/>
  <c r="U253" i="13"/>
  <c r="U229" i="13"/>
  <c r="U205" i="13"/>
  <c r="U181" i="13"/>
  <c r="Z264" i="13"/>
  <c r="Z252" i="13"/>
  <c r="Y240" i="13"/>
  <c r="AB222" i="13"/>
  <c r="Z201" i="13"/>
  <c r="Z185" i="13"/>
  <c r="AB30" i="28" s="1"/>
  <c r="BF268" i="13"/>
  <c r="BF266" i="13"/>
  <c r="AH264" i="13"/>
  <c r="AV260" i="13"/>
  <c r="AW257" i="13"/>
  <c r="BN253" i="13"/>
  <c r="AG251" i="13"/>
  <c r="BM247" i="13"/>
  <c r="AU244" i="13"/>
  <c r="AQ241" i="13"/>
  <c r="BH236" i="13"/>
  <c r="BI232" i="13"/>
  <c r="AK229" i="13"/>
  <c r="AR222" i="13"/>
  <c r="BL214" i="13"/>
  <c r="AO202" i="13"/>
  <c r="AG184" i="13"/>
  <c r="AE29" i="28" s="1"/>
  <c r="L261" i="13"/>
  <c r="M247" i="13"/>
  <c r="M189" i="13"/>
  <c r="R34" i="28" s="1"/>
  <c r="N260" i="13"/>
  <c r="N203" i="13"/>
  <c r="N173" i="13"/>
  <c r="O245" i="13"/>
  <c r="O216" i="13"/>
  <c r="O187" i="13"/>
  <c r="P259" i="13"/>
  <c r="P229" i="13"/>
  <c r="P201" i="13"/>
  <c r="P172" i="13"/>
  <c r="Q243" i="13"/>
  <c r="Q215" i="13"/>
  <c r="Q185" i="13"/>
  <c r="R257" i="13"/>
  <c r="R228" i="13"/>
  <c r="R199" i="13"/>
  <c r="S269" i="13"/>
  <c r="S205" i="13"/>
  <c r="S173" i="13"/>
  <c r="T254" i="13"/>
  <c r="T230" i="13"/>
  <c r="T206" i="13"/>
  <c r="T182" i="13"/>
  <c r="AA264" i="13"/>
  <c r="AA252" i="13"/>
  <c r="Z240" i="13"/>
  <c r="Z224" i="13"/>
  <c r="Z206" i="13"/>
  <c r="AA185" i="13"/>
  <c r="AC30" i="28" s="1"/>
  <c r="AM269" i="13"/>
  <c r="BG266" i="13"/>
  <c r="AR264" i="13"/>
  <c r="BA260" i="13"/>
  <c r="BJ257" i="13"/>
  <c r="BF254" i="13"/>
  <c r="AJ251" i="13"/>
  <c r="AI248" i="13"/>
  <c r="BC244" i="13"/>
  <c r="AT241" i="13"/>
  <c r="BB237" i="13"/>
  <c r="AR233" i="13"/>
  <c r="AO229" i="13"/>
  <c r="AW222" i="13"/>
  <c r="AQ215" i="13"/>
  <c r="AS205" i="13"/>
  <c r="AJ185" i="13"/>
  <c r="AH30" i="28" s="1"/>
  <c r="F245" i="13"/>
  <c r="F219" i="13"/>
  <c r="F193" i="13"/>
  <c r="I269" i="13"/>
  <c r="I243" i="13"/>
  <c r="I217" i="13"/>
  <c r="I191" i="13"/>
  <c r="K265" i="13"/>
  <c r="K239" i="13"/>
  <c r="K212" i="13"/>
  <c r="K186" i="13"/>
  <c r="P31" i="28" s="1"/>
  <c r="L259" i="13"/>
  <c r="L231" i="13"/>
  <c r="L201" i="13"/>
  <c r="L173" i="13"/>
  <c r="Q18" i="28" s="1"/>
  <c r="M244" i="13"/>
  <c r="M215" i="13"/>
  <c r="M187" i="13"/>
  <c r="R32" i="28" s="1"/>
  <c r="N257" i="13"/>
  <c r="N229" i="13"/>
  <c r="N200" i="13"/>
  <c r="O243" i="13"/>
  <c r="O213" i="13"/>
  <c r="O185" i="13"/>
  <c r="P256" i="13"/>
  <c r="P227" i="13"/>
  <c r="P199" i="13"/>
  <c r="Q269" i="13"/>
  <c r="Q241" i="13"/>
  <c r="Q212" i="13"/>
  <c r="Q183" i="13"/>
  <c r="R255" i="13"/>
  <c r="R225" i="13"/>
  <c r="R197" i="13"/>
  <c r="S266" i="13"/>
  <c r="S235" i="13"/>
  <c r="S203" i="13"/>
  <c r="T170" i="13"/>
  <c r="T253" i="13"/>
  <c r="T229" i="13"/>
  <c r="T204" i="13"/>
  <c r="T181" i="13"/>
  <c r="Y264" i="13"/>
  <c r="AA251" i="13"/>
  <c r="AA239" i="13"/>
  <c r="AA221" i="13"/>
  <c r="Y201" i="13"/>
  <c r="Y185" i="13"/>
  <c r="AA30" i="28" s="1"/>
  <c r="BN170" i="13"/>
  <c r="BL15" i="28" s="1"/>
  <c r="BD268" i="13"/>
  <c r="AU266" i="13"/>
  <c r="AS263" i="13"/>
  <c r="AU260" i="13"/>
  <c r="AU257" i="13"/>
  <c r="BM253" i="13"/>
  <c r="BJ250" i="13"/>
  <c r="AK247" i="13"/>
  <c r="AL244" i="13"/>
  <c r="AO241" i="13"/>
  <c r="BG236" i="13"/>
  <c r="BH232" i="13"/>
  <c r="BH227" i="13"/>
  <c r="AM222" i="13"/>
  <c r="AY214" i="13"/>
  <c r="AM200" i="13"/>
  <c r="AJ171" i="13"/>
  <c r="AH16" i="28" s="1"/>
  <c r="AV171" i="13"/>
  <c r="AT16" i="28" s="1"/>
  <c r="BH171" i="13"/>
  <c r="BF16" i="28" s="1"/>
  <c r="AK172" i="13"/>
  <c r="AI17" i="28" s="1"/>
  <c r="AW172" i="13"/>
  <c r="AU17" i="28" s="1"/>
  <c r="BI172" i="13"/>
  <c r="BG17" i="28" s="1"/>
  <c r="AL173" i="13"/>
  <c r="AJ18" i="28" s="1"/>
  <c r="AX173" i="13"/>
  <c r="AV18" i="28" s="1"/>
  <c r="BJ173" i="13"/>
  <c r="BH18" i="28" s="1"/>
  <c r="AM174" i="13"/>
  <c r="AK19" i="28" s="1"/>
  <c r="AY174" i="13"/>
  <c r="AW19" i="28" s="1"/>
  <c r="BK174" i="13"/>
  <c r="BI19" i="28" s="1"/>
  <c r="AN175" i="13"/>
  <c r="AL20" i="28" s="1"/>
  <c r="AZ175" i="13"/>
  <c r="AX20" i="28" s="1"/>
  <c r="BL175" i="13"/>
  <c r="BJ20" i="28" s="1"/>
  <c r="AO176" i="13"/>
  <c r="AM21" i="28" s="1"/>
  <c r="BA176" i="13"/>
  <c r="AY21" i="28" s="1"/>
  <c r="BM176" i="13"/>
  <c r="BK21" i="28" s="1"/>
  <c r="AP177" i="13"/>
  <c r="AN22" i="28" s="1"/>
  <c r="BB177" i="13"/>
  <c r="AZ22" i="28" s="1"/>
  <c r="BN177" i="13"/>
  <c r="BL22" i="28" s="1"/>
  <c r="AQ178" i="13"/>
  <c r="AO23" i="28" s="1"/>
  <c r="BC178" i="13"/>
  <c r="BA23" i="28" s="1"/>
  <c r="BO178" i="13"/>
  <c r="BM23" i="28" s="1"/>
  <c r="AR179" i="13"/>
  <c r="AP24" i="28" s="1"/>
  <c r="BD179" i="13"/>
  <c r="BB24" i="28" s="1"/>
  <c r="AG180" i="13"/>
  <c r="AE25" i="28" s="1"/>
  <c r="AS180" i="13"/>
  <c r="AQ25" i="28" s="1"/>
  <c r="BE180" i="13"/>
  <c r="BC25" i="28" s="1"/>
  <c r="AH181" i="13"/>
  <c r="AF26" i="28" s="1"/>
  <c r="AT181" i="13"/>
  <c r="AR26" i="28" s="1"/>
  <c r="BF181" i="13"/>
  <c r="BD26" i="28" s="1"/>
  <c r="AI182" i="13"/>
  <c r="AG27" i="28" s="1"/>
  <c r="AU182" i="13"/>
  <c r="AS27" i="28" s="1"/>
  <c r="BG182" i="13"/>
  <c r="BE27" i="28" s="1"/>
  <c r="AJ183" i="13"/>
  <c r="AH28" i="28" s="1"/>
  <c r="AV183" i="13"/>
  <c r="AT28" i="28" s="1"/>
  <c r="BH183" i="13"/>
  <c r="BF28" i="28" s="1"/>
  <c r="AK184" i="13"/>
  <c r="AI29" i="28" s="1"/>
  <c r="AW184" i="13"/>
  <c r="AU29" i="28" s="1"/>
  <c r="BI184" i="13"/>
  <c r="BG29" i="28" s="1"/>
  <c r="AL185" i="13"/>
  <c r="AJ30" i="28" s="1"/>
  <c r="AX185" i="13"/>
  <c r="AV30" i="28" s="1"/>
  <c r="BJ185" i="13"/>
  <c r="BH30" i="28" s="1"/>
  <c r="AM186" i="13"/>
  <c r="AK31" i="28" s="1"/>
  <c r="AY186" i="13"/>
  <c r="AW31" i="28" s="1"/>
  <c r="BK186" i="13"/>
  <c r="BI31" i="28" s="1"/>
  <c r="AN187" i="13"/>
  <c r="AL32" i="28" s="1"/>
  <c r="AZ187" i="13"/>
  <c r="AX32" i="28" s="1"/>
  <c r="BL187" i="13"/>
  <c r="BJ32" i="28" s="1"/>
  <c r="AO188" i="13"/>
  <c r="AM33" i="28" s="1"/>
  <c r="BA188" i="13"/>
  <c r="AY33" i="28" s="1"/>
  <c r="BM188" i="13"/>
  <c r="BK33" i="28" s="1"/>
  <c r="AP189" i="13"/>
  <c r="AN34" i="28" s="1"/>
  <c r="BB189" i="13"/>
  <c r="AZ34" i="28" s="1"/>
  <c r="BN189" i="13"/>
  <c r="BL34" i="28" s="1"/>
  <c r="AQ190" i="13"/>
  <c r="BC190" i="13"/>
  <c r="BO190" i="13"/>
  <c r="AR191" i="13"/>
  <c r="BD191" i="13"/>
  <c r="AG192" i="13"/>
  <c r="AS192" i="13"/>
  <c r="BE192" i="13"/>
  <c r="AH193" i="13"/>
  <c r="AT193" i="13"/>
  <c r="BF193" i="13"/>
  <c r="AI194" i="13"/>
  <c r="AU194" i="13"/>
  <c r="BG194" i="13"/>
  <c r="AJ195" i="13"/>
  <c r="AV195" i="13"/>
  <c r="BH195" i="13"/>
  <c r="AK196" i="13"/>
  <c r="AW196" i="13"/>
  <c r="BI196" i="13"/>
  <c r="AL197" i="13"/>
  <c r="AX197" i="13"/>
  <c r="BJ197" i="13"/>
  <c r="AM198" i="13"/>
  <c r="AY198" i="13"/>
  <c r="BK198" i="13"/>
  <c r="AN199" i="13"/>
  <c r="AZ199" i="13"/>
  <c r="AK171" i="13"/>
  <c r="AI16" i="28" s="1"/>
  <c r="AW171" i="13"/>
  <c r="AU16" i="28" s="1"/>
  <c r="BI171" i="13"/>
  <c r="BG16" i="28" s="1"/>
  <c r="AL172" i="13"/>
  <c r="AJ17" i="28" s="1"/>
  <c r="AX172" i="13"/>
  <c r="AV17" i="28" s="1"/>
  <c r="BJ172" i="13"/>
  <c r="BH17" i="28" s="1"/>
  <c r="AM173" i="13"/>
  <c r="AK18" i="28" s="1"/>
  <c r="AY173" i="13"/>
  <c r="AW18" i="28" s="1"/>
  <c r="BK173" i="13"/>
  <c r="BI18" i="28" s="1"/>
  <c r="AN174" i="13"/>
  <c r="AL19" i="28" s="1"/>
  <c r="AZ174" i="13"/>
  <c r="AX19" i="28" s="1"/>
  <c r="BL174" i="13"/>
  <c r="BJ19" i="28" s="1"/>
  <c r="AO175" i="13"/>
  <c r="AM20" i="28" s="1"/>
  <c r="BA175" i="13"/>
  <c r="AY20" i="28" s="1"/>
  <c r="BM175" i="13"/>
  <c r="BK20" i="28" s="1"/>
  <c r="AP176" i="13"/>
  <c r="AN21" i="28" s="1"/>
  <c r="BB176" i="13"/>
  <c r="AZ21" i="28" s="1"/>
  <c r="BN176" i="13"/>
  <c r="BL21" i="28" s="1"/>
  <c r="AQ177" i="13"/>
  <c r="AO22" i="28" s="1"/>
  <c r="BC177" i="13"/>
  <c r="BA22" i="28" s="1"/>
  <c r="BO177" i="13"/>
  <c r="BM22" i="28" s="1"/>
  <c r="AR178" i="13"/>
  <c r="AP23" i="28" s="1"/>
  <c r="BD178" i="13"/>
  <c r="BB23" i="28" s="1"/>
  <c r="AG179" i="13"/>
  <c r="AE24" i="28" s="1"/>
  <c r="AS179" i="13"/>
  <c r="AQ24" i="28" s="1"/>
  <c r="BE179" i="13"/>
  <c r="BC24" i="28" s="1"/>
  <c r="AH180" i="13"/>
  <c r="AF25" i="28" s="1"/>
  <c r="AT180" i="13"/>
  <c r="AR25" i="28" s="1"/>
  <c r="BF180" i="13"/>
  <c r="BD25" i="28" s="1"/>
  <c r="AI181" i="13"/>
  <c r="AG26" i="28" s="1"/>
  <c r="AU181" i="13"/>
  <c r="AS26" i="28" s="1"/>
  <c r="BG181" i="13"/>
  <c r="BE26" i="28" s="1"/>
  <c r="AJ182" i="13"/>
  <c r="AH27" i="28" s="1"/>
  <c r="AV182" i="13"/>
  <c r="AT27" i="28" s="1"/>
  <c r="BH182" i="13"/>
  <c r="BF27" i="28" s="1"/>
  <c r="AK183" i="13"/>
  <c r="AI28" i="28" s="1"/>
  <c r="AW183" i="13"/>
  <c r="AU28" i="28" s="1"/>
  <c r="BI183" i="13"/>
  <c r="BG28" i="28" s="1"/>
  <c r="AL184" i="13"/>
  <c r="AJ29" i="28" s="1"/>
  <c r="AX184" i="13"/>
  <c r="AV29" i="28" s="1"/>
  <c r="BJ184" i="13"/>
  <c r="BH29" i="28" s="1"/>
  <c r="AM185" i="13"/>
  <c r="AK30" i="28" s="1"/>
  <c r="AY185" i="13"/>
  <c r="AW30" i="28" s="1"/>
  <c r="BK185" i="13"/>
  <c r="BI30" i="28" s="1"/>
  <c r="AN186" i="13"/>
  <c r="AL31" i="28" s="1"/>
  <c r="AZ186" i="13"/>
  <c r="AX31" i="28" s="1"/>
  <c r="BL186" i="13"/>
  <c r="BJ31" i="28" s="1"/>
  <c r="AO187" i="13"/>
  <c r="AM32" i="28" s="1"/>
  <c r="BA187" i="13"/>
  <c r="AY32" i="28" s="1"/>
  <c r="BM187" i="13"/>
  <c r="BK32" i="28" s="1"/>
  <c r="AL171" i="13"/>
  <c r="AJ16" i="28" s="1"/>
  <c r="AX171" i="13"/>
  <c r="AV16" i="28" s="1"/>
  <c r="BJ171" i="13"/>
  <c r="BH16" i="28" s="1"/>
  <c r="AM172" i="13"/>
  <c r="AK17" i="28" s="1"/>
  <c r="AY172" i="13"/>
  <c r="AW17" i="28" s="1"/>
  <c r="BK172" i="13"/>
  <c r="BI17" i="28" s="1"/>
  <c r="AN173" i="13"/>
  <c r="AL18" i="28" s="1"/>
  <c r="AZ173" i="13"/>
  <c r="AX18" i="28" s="1"/>
  <c r="BL173" i="13"/>
  <c r="BJ18" i="28" s="1"/>
  <c r="AO174" i="13"/>
  <c r="AM19" i="28" s="1"/>
  <c r="BA174" i="13"/>
  <c r="AY19" i="28" s="1"/>
  <c r="BM174" i="13"/>
  <c r="BK19" i="28" s="1"/>
  <c r="AP175" i="13"/>
  <c r="AN20" i="28" s="1"/>
  <c r="BB175" i="13"/>
  <c r="AZ20" i="28" s="1"/>
  <c r="BN175" i="13"/>
  <c r="BL20" i="28" s="1"/>
  <c r="AQ176" i="13"/>
  <c r="AO21" i="28" s="1"/>
  <c r="BC176" i="13"/>
  <c r="BA21" i="28" s="1"/>
  <c r="BO176" i="13"/>
  <c r="BM21" i="28" s="1"/>
  <c r="AR177" i="13"/>
  <c r="AP22" i="28" s="1"/>
  <c r="BD177" i="13"/>
  <c r="BB22" i="28" s="1"/>
  <c r="AG178" i="13"/>
  <c r="AE23" i="28" s="1"/>
  <c r="AS178" i="13"/>
  <c r="AQ23" i="28" s="1"/>
  <c r="BE178" i="13"/>
  <c r="BC23" i="28" s="1"/>
  <c r="AH179" i="13"/>
  <c r="AF24" i="28" s="1"/>
  <c r="AT179" i="13"/>
  <c r="AR24" i="28" s="1"/>
  <c r="BF179" i="13"/>
  <c r="BD24" i="28" s="1"/>
  <c r="AI180" i="13"/>
  <c r="AG25" i="28" s="1"/>
  <c r="AU180" i="13"/>
  <c r="AS25" i="28" s="1"/>
  <c r="BG180" i="13"/>
  <c r="BE25" i="28" s="1"/>
  <c r="AJ181" i="13"/>
  <c r="AH26" i="28" s="1"/>
  <c r="AV181" i="13"/>
  <c r="AT26" i="28" s="1"/>
  <c r="BH181" i="13"/>
  <c r="BF26" i="28" s="1"/>
  <c r="AK182" i="13"/>
  <c r="AI27" i="28" s="1"/>
  <c r="AW182" i="13"/>
  <c r="AU27" i="28" s="1"/>
  <c r="BI182" i="13"/>
  <c r="BG27" i="28" s="1"/>
  <c r="AL183" i="13"/>
  <c r="AJ28" i="28" s="1"/>
  <c r="AX183" i="13"/>
  <c r="AV28" i="28" s="1"/>
  <c r="BJ183" i="13"/>
  <c r="BH28" i="28" s="1"/>
  <c r="AM184" i="13"/>
  <c r="AK29" i="28" s="1"/>
  <c r="AY184" i="13"/>
  <c r="AW29" i="28" s="1"/>
  <c r="BK184" i="13"/>
  <c r="BI29" i="28" s="1"/>
  <c r="AN185" i="13"/>
  <c r="AL30" i="28" s="1"/>
  <c r="AZ185" i="13"/>
  <c r="AX30" i="28" s="1"/>
  <c r="BL185" i="13"/>
  <c r="BJ30" i="28" s="1"/>
  <c r="AO186" i="13"/>
  <c r="AM31" i="28" s="1"/>
  <c r="BA186" i="13"/>
  <c r="AY31" i="28" s="1"/>
  <c r="BM186" i="13"/>
  <c r="BK31" i="28" s="1"/>
  <c r="AP187" i="13"/>
  <c r="AN32" i="28" s="1"/>
  <c r="BB187" i="13"/>
  <c r="AZ32" i="28" s="1"/>
  <c r="BN187" i="13"/>
  <c r="BL32" i="28" s="1"/>
  <c r="AM171" i="13"/>
  <c r="AK16" i="28" s="1"/>
  <c r="AY171" i="13"/>
  <c r="AW16" i="28" s="1"/>
  <c r="BK171" i="13"/>
  <c r="BI16" i="28" s="1"/>
  <c r="AN172" i="13"/>
  <c r="AL17" i="28" s="1"/>
  <c r="AZ172" i="13"/>
  <c r="AX17" i="28" s="1"/>
  <c r="BL172" i="13"/>
  <c r="BJ17" i="28" s="1"/>
  <c r="AO173" i="13"/>
  <c r="AM18" i="28" s="1"/>
  <c r="BA173" i="13"/>
  <c r="AY18" i="28" s="1"/>
  <c r="BM173" i="13"/>
  <c r="BK18" i="28" s="1"/>
  <c r="AP174" i="13"/>
  <c r="AN19" i="28" s="1"/>
  <c r="BB174" i="13"/>
  <c r="AZ19" i="28" s="1"/>
  <c r="BN174" i="13"/>
  <c r="BL19" i="28" s="1"/>
  <c r="AQ175" i="13"/>
  <c r="AO20" i="28" s="1"/>
  <c r="BC175" i="13"/>
  <c r="BA20" i="28" s="1"/>
  <c r="BO175" i="13"/>
  <c r="BM20" i="28" s="1"/>
  <c r="AR176" i="13"/>
  <c r="AP21" i="28" s="1"/>
  <c r="BD176" i="13"/>
  <c r="BB21" i="28" s="1"/>
  <c r="AG177" i="13"/>
  <c r="AE22" i="28" s="1"/>
  <c r="AS177" i="13"/>
  <c r="AQ22" i="28" s="1"/>
  <c r="BE177" i="13"/>
  <c r="BC22" i="28" s="1"/>
  <c r="AH178" i="13"/>
  <c r="AF23" i="28" s="1"/>
  <c r="AT178" i="13"/>
  <c r="AR23" i="28" s="1"/>
  <c r="BF178" i="13"/>
  <c r="BD23" i="28" s="1"/>
  <c r="AI179" i="13"/>
  <c r="AG24" i="28" s="1"/>
  <c r="AU179" i="13"/>
  <c r="AS24" i="28" s="1"/>
  <c r="BG179" i="13"/>
  <c r="BE24" i="28" s="1"/>
  <c r="AJ180" i="13"/>
  <c r="AH25" i="28" s="1"/>
  <c r="AV180" i="13"/>
  <c r="AT25" i="28" s="1"/>
  <c r="BH180" i="13"/>
  <c r="BF25" i="28" s="1"/>
  <c r="AK181" i="13"/>
  <c r="AI26" i="28" s="1"/>
  <c r="AW181" i="13"/>
  <c r="AU26" i="28" s="1"/>
  <c r="BI181" i="13"/>
  <c r="BG26" i="28" s="1"/>
  <c r="AL182" i="13"/>
  <c r="AJ27" i="28" s="1"/>
  <c r="AX182" i="13"/>
  <c r="AV27" i="28" s="1"/>
  <c r="BJ182" i="13"/>
  <c r="BH27" i="28" s="1"/>
  <c r="AM183" i="13"/>
  <c r="AK28" i="28" s="1"/>
  <c r="AY183" i="13"/>
  <c r="AW28" i="28" s="1"/>
  <c r="BK183" i="13"/>
  <c r="BI28" i="28" s="1"/>
  <c r="AN184" i="13"/>
  <c r="AL29" i="28" s="1"/>
  <c r="AZ184" i="13"/>
  <c r="AX29" i="28" s="1"/>
  <c r="BL184" i="13"/>
  <c r="BJ29" i="28" s="1"/>
  <c r="AO185" i="13"/>
  <c r="AM30" i="28" s="1"/>
  <c r="BA185" i="13"/>
  <c r="AY30" i="28" s="1"/>
  <c r="BM185" i="13"/>
  <c r="BK30" i="28" s="1"/>
  <c r="AP186" i="13"/>
  <c r="AN31" i="28" s="1"/>
  <c r="BB186" i="13"/>
  <c r="AZ31" i="28" s="1"/>
  <c r="BN186" i="13"/>
  <c r="BL31" i="28" s="1"/>
  <c r="AQ187" i="13"/>
  <c r="AO32" i="28" s="1"/>
  <c r="BC187" i="13"/>
  <c r="BA32" i="28" s="1"/>
  <c r="BO187" i="13"/>
  <c r="BM32" i="28" s="1"/>
  <c r="AR188" i="13"/>
  <c r="AP33" i="28" s="1"/>
  <c r="BD188" i="13"/>
  <c r="BB33" i="28" s="1"/>
  <c r="AG189" i="13"/>
  <c r="AE34" i="28" s="1"/>
  <c r="AS189" i="13"/>
  <c r="AQ34" i="28" s="1"/>
  <c r="BE189" i="13"/>
  <c r="BC34" i="28" s="1"/>
  <c r="AH190" i="13"/>
  <c r="AT190" i="13"/>
  <c r="BF190" i="13"/>
  <c r="AI191" i="13"/>
  <c r="AU191" i="13"/>
  <c r="BG191" i="13"/>
  <c r="AJ192" i="13"/>
  <c r="AV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AQ171" i="13"/>
  <c r="AO16" i="28" s="1"/>
  <c r="BC171" i="13"/>
  <c r="BA16" i="28" s="1"/>
  <c r="BO171" i="13"/>
  <c r="BM16" i="28" s="1"/>
  <c r="AR172" i="13"/>
  <c r="AP17" i="28" s="1"/>
  <c r="BD172" i="13"/>
  <c r="BB17" i="28" s="1"/>
  <c r="AG173" i="13"/>
  <c r="AE18" i="28" s="1"/>
  <c r="AS173" i="13"/>
  <c r="AQ18" i="28" s="1"/>
  <c r="BE173" i="13"/>
  <c r="BC18" i="28" s="1"/>
  <c r="AH174" i="13"/>
  <c r="AF19" i="28" s="1"/>
  <c r="AT174" i="13"/>
  <c r="AR19" i="28" s="1"/>
  <c r="BF174" i="13"/>
  <c r="BD19" i="28" s="1"/>
  <c r="AI175" i="13"/>
  <c r="AG20" i="28" s="1"/>
  <c r="AU175" i="13"/>
  <c r="AS20" i="28" s="1"/>
  <c r="BG175" i="13"/>
  <c r="BE20" i="28" s="1"/>
  <c r="AJ176" i="13"/>
  <c r="AH21" i="28" s="1"/>
  <c r="AV176" i="13"/>
  <c r="AT21" i="28" s="1"/>
  <c r="BH176" i="13"/>
  <c r="BF21" i="28" s="1"/>
  <c r="AK177" i="13"/>
  <c r="AI22" i="28" s="1"/>
  <c r="AW177" i="13"/>
  <c r="AU22" i="28" s="1"/>
  <c r="BI177" i="13"/>
  <c r="BG22" i="28" s="1"/>
  <c r="AL178" i="13"/>
  <c r="AJ23" i="28" s="1"/>
  <c r="AX178" i="13"/>
  <c r="AV23" i="28" s="1"/>
  <c r="BJ178" i="13"/>
  <c r="BH23" i="28" s="1"/>
  <c r="AM179" i="13"/>
  <c r="AK24" i="28" s="1"/>
  <c r="AY179" i="13"/>
  <c r="AW24" i="28" s="1"/>
  <c r="BK179" i="13"/>
  <c r="BI24" i="28" s="1"/>
  <c r="AN180" i="13"/>
  <c r="AL25" i="28" s="1"/>
  <c r="AZ180" i="13"/>
  <c r="AX25" i="28" s="1"/>
  <c r="BL180" i="13"/>
  <c r="BJ25" i="28" s="1"/>
  <c r="AO181" i="13"/>
  <c r="AM26" i="28" s="1"/>
  <c r="BA181" i="13"/>
  <c r="AY26" i="28" s="1"/>
  <c r="BM181" i="13"/>
  <c r="BK26" i="28" s="1"/>
  <c r="AP182" i="13"/>
  <c r="AN27" i="28" s="1"/>
  <c r="BB182" i="13"/>
  <c r="AZ27" i="28" s="1"/>
  <c r="BN182" i="13"/>
  <c r="BL27" i="28" s="1"/>
  <c r="AQ183" i="13"/>
  <c r="AO28" i="28" s="1"/>
  <c r="BC183" i="13"/>
  <c r="BA28" i="28" s="1"/>
  <c r="BO183" i="13"/>
  <c r="BM28" i="28" s="1"/>
  <c r="AR184" i="13"/>
  <c r="AP29" i="28" s="1"/>
  <c r="BD184" i="13"/>
  <c r="BB29" i="28" s="1"/>
  <c r="AG185" i="13"/>
  <c r="AE30" i="28" s="1"/>
  <c r="AS185" i="13"/>
  <c r="AQ30" i="28" s="1"/>
  <c r="BE185" i="13"/>
  <c r="BC30" i="28" s="1"/>
  <c r="AH186" i="13"/>
  <c r="AF31" i="28" s="1"/>
  <c r="AT186" i="13"/>
  <c r="AR31" i="28" s="1"/>
  <c r="BF186" i="13"/>
  <c r="BD31" i="28" s="1"/>
  <c r="AI187" i="13"/>
  <c r="AG32" i="28" s="1"/>
  <c r="AU187" i="13"/>
  <c r="AS32" i="28" s="1"/>
  <c r="BG187" i="13"/>
  <c r="BE32" i="28" s="1"/>
  <c r="AO171" i="13"/>
  <c r="AM16" i="28" s="1"/>
  <c r="BG171" i="13"/>
  <c r="BE16" i="28" s="1"/>
  <c r="AT172" i="13"/>
  <c r="AR17" i="28" s="1"/>
  <c r="BO172" i="13"/>
  <c r="BM17" i="28" s="1"/>
  <c r="BB173" i="13"/>
  <c r="AZ18" i="28" s="1"/>
  <c r="AK174" i="13"/>
  <c r="AI19" i="28" s="1"/>
  <c r="BG174" i="13"/>
  <c r="BE19" i="28" s="1"/>
  <c r="AS175" i="13"/>
  <c r="AQ20" i="28" s="1"/>
  <c r="BK175" i="13"/>
  <c r="BI20" i="28" s="1"/>
  <c r="AX176" i="13"/>
  <c r="AV21" i="28" s="1"/>
  <c r="AJ177" i="13"/>
  <c r="AH22" i="28" s="1"/>
  <c r="BF177" i="13"/>
  <c r="BD22" i="28" s="1"/>
  <c r="AO178" i="13"/>
  <c r="AM23" i="28" s="1"/>
  <c r="BK178" i="13"/>
  <c r="BI23" i="28" s="1"/>
  <c r="AW179" i="13"/>
  <c r="AU24" i="28" s="1"/>
  <c r="BO179" i="13"/>
  <c r="BM24" i="28" s="1"/>
  <c r="BB180" i="13"/>
  <c r="AZ25" i="28" s="1"/>
  <c r="AN181" i="13"/>
  <c r="AL26" i="28" s="1"/>
  <c r="BJ181" i="13"/>
  <c r="BH26" i="28" s="1"/>
  <c r="AS182" i="13"/>
  <c r="AQ27" i="28" s="1"/>
  <c r="BO182" i="13"/>
  <c r="BM27" i="28" s="1"/>
  <c r="BA183" i="13"/>
  <c r="AY28" i="28" s="1"/>
  <c r="AJ184" i="13"/>
  <c r="AH29" i="28" s="1"/>
  <c r="BF184" i="13"/>
  <c r="BD29" i="28" s="1"/>
  <c r="AR185" i="13"/>
  <c r="AP30" i="28" s="1"/>
  <c r="BN185" i="13"/>
  <c r="BL30" i="28" s="1"/>
  <c r="AW186" i="13"/>
  <c r="AU31" i="28" s="1"/>
  <c r="AJ187" i="13"/>
  <c r="AH32" i="28" s="1"/>
  <c r="BE187" i="13"/>
  <c r="BC32" i="28" s="1"/>
  <c r="AM188" i="13"/>
  <c r="AK33" i="28" s="1"/>
  <c r="BB188" i="13"/>
  <c r="AZ33" i="28" s="1"/>
  <c r="AH189" i="13"/>
  <c r="AF34" i="28" s="1"/>
  <c r="AV189" i="13"/>
  <c r="AT34" i="28" s="1"/>
  <c r="BJ189" i="13"/>
  <c r="BH34" i="28" s="1"/>
  <c r="AO190" i="13"/>
  <c r="BD190" i="13"/>
  <c r="AJ191" i="13"/>
  <c r="AX191" i="13"/>
  <c r="BL191" i="13"/>
  <c r="AQ192" i="13"/>
  <c r="BF192" i="13"/>
  <c r="AL193" i="13"/>
  <c r="AZ193" i="13"/>
  <c r="BN193" i="13"/>
  <c r="AS194" i="13"/>
  <c r="BH194" i="13"/>
  <c r="AN195" i="13"/>
  <c r="BB195" i="13"/>
  <c r="AG196" i="13"/>
  <c r="AU196" i="13"/>
  <c r="BJ196" i="13"/>
  <c r="AP197" i="13"/>
  <c r="BD197" i="13"/>
  <c r="AI198" i="13"/>
  <c r="AW198" i="13"/>
  <c r="BL198" i="13"/>
  <c r="AR199" i="13"/>
  <c r="BF199" i="13"/>
  <c r="AI200" i="13"/>
  <c r="AU200" i="13"/>
  <c r="BG200" i="13"/>
  <c r="AJ201" i="13"/>
  <c r="AV201" i="13"/>
  <c r="BH201" i="13"/>
  <c r="AK202" i="13"/>
  <c r="AW202" i="13"/>
  <c r="BI202" i="13"/>
  <c r="AL203" i="13"/>
  <c r="AX203" i="13"/>
  <c r="BJ203" i="13"/>
  <c r="AM204" i="13"/>
  <c r="AY204" i="13"/>
  <c r="BK204" i="13"/>
  <c r="AN205" i="13"/>
  <c r="AZ205" i="13"/>
  <c r="AP171" i="13"/>
  <c r="AN16" i="28" s="1"/>
  <c r="BL171" i="13"/>
  <c r="BJ16" i="28" s="1"/>
  <c r="AU172" i="13"/>
  <c r="AS17" i="28" s="1"/>
  <c r="AH173" i="13"/>
  <c r="AF18" i="28" s="1"/>
  <c r="BC173" i="13"/>
  <c r="BA18" i="28" s="1"/>
  <c r="AL174" i="13"/>
  <c r="AJ19" i="28" s="1"/>
  <c r="BH174" i="13"/>
  <c r="BF19" i="28" s="1"/>
  <c r="AT175" i="13"/>
  <c r="AR20" i="28" s="1"/>
  <c r="AG176" i="13"/>
  <c r="AE21" i="28" s="1"/>
  <c r="AY176" i="13"/>
  <c r="AW21" i="28" s="1"/>
  <c r="AL177" i="13"/>
  <c r="AJ22" i="28" s="1"/>
  <c r="BG177" i="13"/>
  <c r="BE22" i="28" s="1"/>
  <c r="AP178" i="13"/>
  <c r="AN23" i="28" s="1"/>
  <c r="BL178" i="13"/>
  <c r="BJ23" i="28" s="1"/>
  <c r="AX179" i="13"/>
  <c r="AV24" i="28" s="1"/>
  <c r="AK180" i="13"/>
  <c r="AI25" i="28" s="1"/>
  <c r="BC180" i="13"/>
  <c r="BA25" i="28" s="1"/>
  <c r="AP181" i="13"/>
  <c r="AN26" i="28" s="1"/>
  <c r="BK181" i="13"/>
  <c r="BI26" i="28" s="1"/>
  <c r="AT182" i="13"/>
  <c r="AR27" i="28" s="1"/>
  <c r="AG183" i="13"/>
  <c r="AE28" i="28" s="1"/>
  <c r="BB183" i="13"/>
  <c r="AZ28" i="28" s="1"/>
  <c r="AO184" i="13"/>
  <c r="AM29" i="28" s="1"/>
  <c r="BG184" i="13"/>
  <c r="BE29" i="28" s="1"/>
  <c r="AT185" i="13"/>
  <c r="AR30" i="28" s="1"/>
  <c r="BO185" i="13"/>
  <c r="BM30" i="28" s="1"/>
  <c r="AX186" i="13"/>
  <c r="AV31" i="28" s="1"/>
  <c r="AK187" i="13"/>
  <c r="AI32" i="28" s="1"/>
  <c r="BF187" i="13"/>
  <c r="BD32" i="28" s="1"/>
  <c r="AN188" i="13"/>
  <c r="AL33" i="28" s="1"/>
  <c r="BC188" i="13"/>
  <c r="BA33" i="28" s="1"/>
  <c r="AI189" i="13"/>
  <c r="AG34" i="28" s="1"/>
  <c r="AW189" i="13"/>
  <c r="AU34" i="28" s="1"/>
  <c r="BK189" i="13"/>
  <c r="BI34" i="28" s="1"/>
  <c r="AP190" i="13"/>
  <c r="BE190" i="13"/>
  <c r="AK191" i="13"/>
  <c r="AY191" i="13"/>
  <c r="BM191" i="13"/>
  <c r="AR192" i="13"/>
  <c r="BG192" i="13"/>
  <c r="AM193" i="13"/>
  <c r="BA193" i="13"/>
  <c r="BO193" i="13"/>
  <c r="AT194" i="13"/>
  <c r="BI194" i="13"/>
  <c r="AO195" i="13"/>
  <c r="BC195" i="13"/>
  <c r="AH196" i="13"/>
  <c r="AV196" i="13"/>
  <c r="BK196" i="13"/>
  <c r="AQ197" i="13"/>
  <c r="BE197" i="13"/>
  <c r="AJ198" i="13"/>
  <c r="AX198" i="13"/>
  <c r="BM198" i="13"/>
  <c r="AS199" i="13"/>
  <c r="BG199" i="13"/>
  <c r="AJ200" i="13"/>
  <c r="AV200" i="13"/>
  <c r="BH200" i="13"/>
  <c r="AK201" i="13"/>
  <c r="AW201" i="13"/>
  <c r="BI201" i="13"/>
  <c r="AL202" i="13"/>
  <c r="AX202" i="13"/>
  <c r="BJ202" i="13"/>
  <c r="AM203" i="13"/>
  <c r="AY203" i="13"/>
  <c r="BK203" i="13"/>
  <c r="AN204" i="13"/>
  <c r="AZ204" i="13"/>
  <c r="BL204" i="13"/>
  <c r="AO205" i="13"/>
  <c r="BA205" i="13"/>
  <c r="BM205" i="13"/>
  <c r="AR171" i="13"/>
  <c r="AP16" i="28" s="1"/>
  <c r="BM171" i="13"/>
  <c r="BK16" i="28" s="1"/>
  <c r="AV172" i="13"/>
  <c r="AT17" i="28" s="1"/>
  <c r="AI173" i="13"/>
  <c r="AG18" i="28" s="1"/>
  <c r="BD173" i="13"/>
  <c r="BB18" i="28" s="1"/>
  <c r="AQ174" i="13"/>
  <c r="AO19" i="28" s="1"/>
  <c r="BI174" i="13"/>
  <c r="BG19" i="28" s="1"/>
  <c r="AV175" i="13"/>
  <c r="AT20" i="28" s="1"/>
  <c r="AH176" i="13"/>
  <c r="AF21" i="28" s="1"/>
  <c r="AZ176" i="13"/>
  <c r="AX21" i="28" s="1"/>
  <c r="AM177" i="13"/>
  <c r="AK22" i="28" s="1"/>
  <c r="BH177" i="13"/>
  <c r="BF22" i="28" s="1"/>
  <c r="AU178" i="13"/>
  <c r="AS23" i="28" s="1"/>
  <c r="BM178" i="13"/>
  <c r="BK23" i="28" s="1"/>
  <c r="AZ179" i="13"/>
  <c r="AX24" i="28" s="1"/>
  <c r="AL180" i="13"/>
  <c r="AJ25" i="28" s="1"/>
  <c r="BD180" i="13"/>
  <c r="BB25" i="28" s="1"/>
  <c r="AQ181" i="13"/>
  <c r="AO26" i="28" s="1"/>
  <c r="BL181" i="13"/>
  <c r="BJ26" i="28" s="1"/>
  <c r="AY182" i="13"/>
  <c r="AW27" i="28" s="1"/>
  <c r="AH183" i="13"/>
  <c r="AF28" i="28" s="1"/>
  <c r="BD183" i="13"/>
  <c r="BB28" i="28" s="1"/>
  <c r="AP184" i="13"/>
  <c r="AN29" i="28" s="1"/>
  <c r="BH184" i="13"/>
  <c r="BF29" i="28" s="1"/>
  <c r="AU185" i="13"/>
  <c r="AS30" i="28" s="1"/>
  <c r="AG186" i="13"/>
  <c r="AE31" i="28" s="1"/>
  <c r="BC186" i="13"/>
  <c r="BA31" i="28" s="1"/>
  <c r="AL187" i="13"/>
  <c r="AJ32" i="28" s="1"/>
  <c r="BH187" i="13"/>
  <c r="BF32" i="28" s="1"/>
  <c r="AP188" i="13"/>
  <c r="AN33" i="28" s="1"/>
  <c r="BE188" i="13"/>
  <c r="BC33" i="28" s="1"/>
  <c r="AJ189" i="13"/>
  <c r="AH34" i="28" s="1"/>
  <c r="AX189" i="13"/>
  <c r="AV34" i="28" s="1"/>
  <c r="BL189" i="13"/>
  <c r="BJ34" i="28" s="1"/>
  <c r="AR190" i="13"/>
  <c r="BG190" i="13"/>
  <c r="AL191" i="13"/>
  <c r="AZ191" i="13"/>
  <c r="BN191" i="13"/>
  <c r="AT192" i="13"/>
  <c r="BI192" i="13"/>
  <c r="AN193" i="13"/>
  <c r="BB193" i="13"/>
  <c r="AG194" i="13"/>
  <c r="AV194" i="13"/>
  <c r="BK194" i="13"/>
  <c r="AP195" i="13"/>
  <c r="BD195" i="13"/>
  <c r="AI196" i="13"/>
  <c r="AX196" i="13"/>
  <c r="BM196" i="13"/>
  <c r="AR197" i="13"/>
  <c r="BF197" i="13"/>
  <c r="AK198" i="13"/>
  <c r="AZ198" i="13"/>
  <c r="BO198" i="13"/>
  <c r="AT199" i="13"/>
  <c r="BH199" i="13"/>
  <c r="AK200" i="13"/>
  <c r="AW200" i="13"/>
  <c r="BI200" i="13"/>
  <c r="AL201" i="13"/>
  <c r="AX201" i="13"/>
  <c r="BJ201" i="13"/>
  <c r="AM202" i="13"/>
  <c r="AY202" i="13"/>
  <c r="BK202" i="13"/>
  <c r="AN203" i="13"/>
  <c r="AZ203" i="13"/>
  <c r="BL203" i="13"/>
  <c r="AO204" i="13"/>
  <c r="BA204" i="13"/>
  <c r="BM204" i="13"/>
  <c r="AP205" i="13"/>
  <c r="BB205" i="13"/>
  <c r="BN205" i="13"/>
  <c r="AQ206" i="13"/>
  <c r="BC206" i="13"/>
  <c r="BO206" i="13"/>
  <c r="AR207" i="13"/>
  <c r="BD207" i="13"/>
  <c r="AG208" i="13"/>
  <c r="AS208" i="13"/>
  <c r="BE208" i="13"/>
  <c r="AH209" i="13"/>
  <c r="BA171" i="13"/>
  <c r="AY16" i="28" s="1"/>
  <c r="AJ172" i="13"/>
  <c r="AH17" i="28" s="1"/>
  <c r="BF172" i="13"/>
  <c r="BD17" i="28" s="1"/>
  <c r="AR173" i="13"/>
  <c r="AP18" i="28" s="1"/>
  <c r="BN173" i="13"/>
  <c r="BL18" i="28" s="1"/>
  <c r="AW174" i="13"/>
  <c r="AU19" i="28" s="1"/>
  <c r="AJ175" i="13"/>
  <c r="AH20" i="28" s="1"/>
  <c r="BE175" i="13"/>
  <c r="BC20" i="28" s="1"/>
  <c r="AN176" i="13"/>
  <c r="AL21" i="28" s="1"/>
  <c r="BJ176" i="13"/>
  <c r="BH21" i="28" s="1"/>
  <c r="AV177" i="13"/>
  <c r="AT22" i="28" s="1"/>
  <c r="AI178" i="13"/>
  <c r="AG23" i="28" s="1"/>
  <c r="BA178" i="13"/>
  <c r="AY23" i="28" s="1"/>
  <c r="AN179" i="13"/>
  <c r="AL24" i="28" s="1"/>
  <c r="BI179" i="13"/>
  <c r="BG24" i="28" s="1"/>
  <c r="AR180" i="13"/>
  <c r="AP25" i="28" s="1"/>
  <c r="BN180" i="13"/>
  <c r="BL25" i="28" s="1"/>
  <c r="AZ181" i="13"/>
  <c r="AX26" i="28" s="1"/>
  <c r="AM182" i="13"/>
  <c r="AK27" i="28" s="1"/>
  <c r="BE182" i="13"/>
  <c r="BC27" i="28" s="1"/>
  <c r="AR183" i="13"/>
  <c r="AP28" i="28" s="1"/>
  <c r="BM183" i="13"/>
  <c r="BK28" i="28" s="1"/>
  <c r="AV184" i="13"/>
  <c r="AT29" i="28" s="1"/>
  <c r="AI185" i="13"/>
  <c r="AG30" i="28" s="1"/>
  <c r="BD185" i="13"/>
  <c r="BB30" i="28" s="1"/>
  <c r="AQ186" i="13"/>
  <c r="AO31" i="28" s="1"/>
  <c r="BI186" i="13"/>
  <c r="BG31" i="28" s="1"/>
  <c r="AV187" i="13"/>
  <c r="AT32" i="28" s="1"/>
  <c r="AH188" i="13"/>
  <c r="AF33" i="28" s="1"/>
  <c r="AV188" i="13"/>
  <c r="AT33" i="28" s="1"/>
  <c r="BJ188" i="13"/>
  <c r="BH33" i="28" s="1"/>
  <c r="AO189" i="13"/>
  <c r="AM34" i="28" s="1"/>
  <c r="BD189" i="13"/>
  <c r="BB34" i="28" s="1"/>
  <c r="AJ190" i="13"/>
  <c r="AX190" i="13"/>
  <c r="BL190" i="13"/>
  <c r="AQ191" i="13"/>
  <c r="BF191" i="13"/>
  <c r="AL192" i="13"/>
  <c r="AZ192" i="13"/>
  <c r="BN192" i="13"/>
  <c r="AS193" i="13"/>
  <c r="BH193" i="13"/>
  <c r="AN194" i="13"/>
  <c r="BB194" i="13"/>
  <c r="AG195" i="13"/>
  <c r="AU195" i="13"/>
  <c r="BJ195" i="13"/>
  <c r="AP196" i="13"/>
  <c r="BD196" i="13"/>
  <c r="AI197" i="13"/>
  <c r="AW197" i="13"/>
  <c r="BL197" i="13"/>
  <c r="AR198" i="13"/>
  <c r="BF198" i="13"/>
  <c r="AK199" i="13"/>
  <c r="AY199" i="13"/>
  <c r="BM199" i="13"/>
  <c r="AP200" i="13"/>
  <c r="BB200" i="13"/>
  <c r="BN200" i="13"/>
  <c r="AQ201" i="13"/>
  <c r="BC201" i="13"/>
  <c r="BO201" i="13"/>
  <c r="AR202" i="13"/>
  <c r="BD202" i="13"/>
  <c r="AG203" i="13"/>
  <c r="AS203" i="13"/>
  <c r="BE203" i="13"/>
  <c r="AH204" i="13"/>
  <c r="AT204" i="13"/>
  <c r="BF204" i="13"/>
  <c r="AI205" i="13"/>
  <c r="AU205" i="13"/>
  <c r="AS171" i="13"/>
  <c r="AQ16" i="28" s="1"/>
  <c r="AO172" i="13"/>
  <c r="AM17" i="28" s="1"/>
  <c r="AJ173" i="13"/>
  <c r="AH18" i="28" s="1"/>
  <c r="BO173" i="13"/>
  <c r="BM18" i="28" s="1"/>
  <c r="BJ174" i="13"/>
  <c r="BH19" i="28" s="1"/>
  <c r="BF175" i="13"/>
  <c r="BD20" i="28" s="1"/>
  <c r="BE176" i="13"/>
  <c r="BC21" i="28" s="1"/>
  <c r="AX177" i="13"/>
  <c r="AV22" i="28" s="1"/>
  <c r="AV178" i="13"/>
  <c r="AT23" i="28" s="1"/>
  <c r="AO179" i="13"/>
  <c r="AM24" i="28" s="1"/>
  <c r="AM180" i="13"/>
  <c r="AK25" i="28" s="1"/>
  <c r="BO180" i="13"/>
  <c r="BM25" i="28" s="1"/>
  <c r="BN181" i="13"/>
  <c r="BL26" i="28" s="1"/>
  <c r="BF182" i="13"/>
  <c r="BD27" i="28" s="1"/>
  <c r="BE183" i="13"/>
  <c r="BC28" i="28" s="1"/>
  <c r="BA184" i="13"/>
  <c r="AY29" i="28" s="1"/>
  <c r="AV185" i="13"/>
  <c r="AT30" i="28" s="1"/>
  <c r="AR186" i="13"/>
  <c r="AP31" i="28" s="1"/>
  <c r="AM187" i="13"/>
  <c r="AK32" i="28" s="1"/>
  <c r="AI188" i="13"/>
  <c r="AG33" i="28" s="1"/>
  <c r="BF188" i="13"/>
  <c r="BD33" i="28" s="1"/>
  <c r="AQ189" i="13"/>
  <c r="AO34" i="28" s="1"/>
  <c r="BM189" i="13"/>
  <c r="BK34" i="28" s="1"/>
  <c r="AY190" i="13"/>
  <c r="AM191" i="13"/>
  <c r="BH191" i="13"/>
  <c r="AU192" i="13"/>
  <c r="BO192" i="13"/>
  <c r="BC193" i="13"/>
  <c r="AO194" i="13"/>
  <c r="BL194" i="13"/>
  <c r="AW195" i="13"/>
  <c r="AJ196" i="13"/>
  <c r="BE196" i="13"/>
  <c r="AS197" i="13"/>
  <c r="BN197" i="13"/>
  <c r="BA198" i="13"/>
  <c r="AL199" i="13"/>
  <c r="BI199" i="13"/>
  <c r="AQ200" i="13"/>
  <c r="BJ200" i="13"/>
  <c r="AR201" i="13"/>
  <c r="BK201" i="13"/>
  <c r="AS202" i="13"/>
  <c r="BL202" i="13"/>
  <c r="AT203" i="13"/>
  <c r="BM203" i="13"/>
  <c r="AU204" i="13"/>
  <c r="BN204" i="13"/>
  <c r="AV205" i="13"/>
  <c r="BK205" i="13"/>
  <c r="AP206" i="13"/>
  <c r="BD206" i="13"/>
  <c r="AH207" i="13"/>
  <c r="AU207" i="13"/>
  <c r="BH207" i="13"/>
  <c r="AL208" i="13"/>
  <c r="AY208" i="13"/>
  <c r="BL208" i="13"/>
  <c r="AP209" i="13"/>
  <c r="BB209" i="13"/>
  <c r="BN209" i="13"/>
  <c r="AQ210" i="13"/>
  <c r="BC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T171" i="13"/>
  <c r="AR16" i="28" s="1"/>
  <c r="AP172" i="13"/>
  <c r="AN17" i="28" s="1"/>
  <c r="AK173" i="13"/>
  <c r="AI18" i="28" s="1"/>
  <c r="AG174" i="13"/>
  <c r="AE19" i="28" s="1"/>
  <c r="BO174" i="13"/>
  <c r="BM19" i="28" s="1"/>
  <c r="BH175" i="13"/>
  <c r="BF20" i="28" s="1"/>
  <c r="BF176" i="13"/>
  <c r="BD21" i="28" s="1"/>
  <c r="AY177" i="13"/>
  <c r="AW22" i="28" s="1"/>
  <c r="AW178" i="13"/>
  <c r="AU23" i="28" s="1"/>
  <c r="AP179" i="13"/>
  <c r="AN24" i="28" s="1"/>
  <c r="AO180" i="13"/>
  <c r="AM25" i="28" s="1"/>
  <c r="AG181" i="13"/>
  <c r="AE26" i="28" s="1"/>
  <c r="BO181" i="13"/>
  <c r="BM26" i="28" s="1"/>
  <c r="BK182" i="13"/>
  <c r="BI27" i="28" s="1"/>
  <c r="BF183" i="13"/>
  <c r="BD28" i="28" s="1"/>
  <c r="BB184" i="13"/>
  <c r="AZ29" i="28" s="1"/>
  <c r="AW185" i="13"/>
  <c r="AU30" i="28" s="1"/>
  <c r="AS186" i="13"/>
  <c r="AQ31" i="28" s="1"/>
  <c r="AR187" i="13"/>
  <c r="AP32" i="28" s="1"/>
  <c r="AJ188" i="13"/>
  <c r="AH33" i="28" s="1"/>
  <c r="BG188" i="13"/>
  <c r="BE33" i="28" s="1"/>
  <c r="AR189" i="13"/>
  <c r="AP34" i="28" s="1"/>
  <c r="BO189" i="13"/>
  <c r="BM34" i="28" s="1"/>
  <c r="AZ190" i="13"/>
  <c r="AN191" i="13"/>
  <c r="BI191" i="13"/>
  <c r="AW192" i="13"/>
  <c r="AG193" i="13"/>
  <c r="BD193" i="13"/>
  <c r="AP194" i="13"/>
  <c r="BM194" i="13"/>
  <c r="AX195" i="13"/>
  <c r="AL196" i="13"/>
  <c r="BF196" i="13"/>
  <c r="AT197" i="13"/>
  <c r="BO197" i="13"/>
  <c r="BC198" i="13"/>
  <c r="AM199" i="13"/>
  <c r="BJ199" i="13"/>
  <c r="AR200" i="13"/>
  <c r="BK200" i="13"/>
  <c r="AS201" i="13"/>
  <c r="BL201" i="13"/>
  <c r="AT202" i="13"/>
  <c r="BM202" i="13"/>
  <c r="AU203" i="13"/>
  <c r="BN203" i="13"/>
  <c r="AV204" i="13"/>
  <c r="BO204" i="13"/>
  <c r="AW205" i="13"/>
  <c r="BL205" i="13"/>
  <c r="AR206" i="13"/>
  <c r="BE206" i="13"/>
  <c r="AI207" i="13"/>
  <c r="AV207" i="13"/>
  <c r="BI207" i="13"/>
  <c r="AM208" i="13"/>
  <c r="AZ208" i="13"/>
  <c r="BM208" i="13"/>
  <c r="AQ209" i="13"/>
  <c r="BC209" i="13"/>
  <c r="BO209" i="13"/>
  <c r="AR210" i="13"/>
  <c r="BD210" i="13"/>
  <c r="AG211" i="13"/>
  <c r="AS211" i="13"/>
  <c r="BE211" i="13"/>
  <c r="AH212" i="13"/>
  <c r="AT212" i="13"/>
  <c r="BF212" i="13"/>
  <c r="AI213" i="13"/>
  <c r="AU213" i="13"/>
  <c r="BG213" i="13"/>
  <c r="AJ214" i="13"/>
  <c r="AV214" i="13"/>
  <c r="BH214" i="13"/>
  <c r="AK215" i="13"/>
  <c r="AW215" i="13"/>
  <c r="BI215" i="13"/>
  <c r="AL216" i="13"/>
  <c r="AX216" i="13"/>
  <c r="BJ216" i="13"/>
  <c r="AM217" i="13"/>
  <c r="AY217" i="13"/>
  <c r="BK217" i="13"/>
  <c r="AU171" i="13"/>
  <c r="AS16" i="28" s="1"/>
  <c r="AQ172" i="13"/>
  <c r="AO17" i="28" s="1"/>
  <c r="AP173" i="13"/>
  <c r="AN18" i="28" s="1"/>
  <c r="AI174" i="13"/>
  <c r="AG19" i="28" s="1"/>
  <c r="AG175" i="13"/>
  <c r="AE20" i="28" s="1"/>
  <c r="BI175" i="13"/>
  <c r="BG20" i="28" s="1"/>
  <c r="BG176" i="13"/>
  <c r="BE21" i="28" s="1"/>
  <c r="AZ177" i="13"/>
  <c r="AX22" i="28" s="1"/>
  <c r="AY178" i="13"/>
  <c r="AW23" i="28" s="1"/>
  <c r="AQ179" i="13"/>
  <c r="AO24" i="28" s="1"/>
  <c r="AP180" i="13"/>
  <c r="AN25" i="28" s="1"/>
  <c r="AL181" i="13"/>
  <c r="AJ26" i="28" s="1"/>
  <c r="AG182" i="13"/>
  <c r="AE27" i="28" s="1"/>
  <c r="BL182" i="13"/>
  <c r="BJ27" i="28" s="1"/>
  <c r="BG183" i="13"/>
  <c r="BE28" i="28" s="1"/>
  <c r="BC184" i="13"/>
  <c r="BA29" i="28" s="1"/>
  <c r="BB185" i="13"/>
  <c r="AZ30" i="28" s="1"/>
  <c r="AU186" i="13"/>
  <c r="AS31" i="28" s="1"/>
  <c r="AS187" i="13"/>
  <c r="AQ32" i="28" s="1"/>
  <c r="AK188" i="13"/>
  <c r="AI33" i="28" s="1"/>
  <c r="BH188" i="13"/>
  <c r="BF33" i="28" s="1"/>
  <c r="AT189" i="13"/>
  <c r="AR34" i="28" s="1"/>
  <c r="AG190" i="13"/>
  <c r="BA190" i="13"/>
  <c r="AO191" i="13"/>
  <c r="BJ191" i="13"/>
  <c r="AX192" i="13"/>
  <c r="AI193" i="13"/>
  <c r="BE193" i="13"/>
  <c r="AQ194" i="13"/>
  <c r="BN194" i="13"/>
  <c r="AZ195" i="13"/>
  <c r="AM196" i="13"/>
  <c r="BG196" i="13"/>
  <c r="AU197" i="13"/>
  <c r="AG198" i="13"/>
  <c r="BD198" i="13"/>
  <c r="AO199" i="13"/>
  <c r="BK199" i="13"/>
  <c r="AS200" i="13"/>
  <c r="BL200" i="13"/>
  <c r="AT201" i="13"/>
  <c r="BM201" i="13"/>
  <c r="AU202" i="13"/>
  <c r="BN202" i="13"/>
  <c r="AV203" i="13"/>
  <c r="BO203" i="13"/>
  <c r="AW204" i="13"/>
  <c r="AG205" i="13"/>
  <c r="AX205" i="13"/>
  <c r="BO205" i="13"/>
  <c r="AS206" i="13"/>
  <c r="BF206" i="13"/>
  <c r="AJ207" i="13"/>
  <c r="AW207" i="13"/>
  <c r="BJ207" i="13"/>
  <c r="AN208" i="13"/>
  <c r="BA208" i="13"/>
  <c r="BN208" i="13"/>
  <c r="AR209" i="13"/>
  <c r="BD209" i="13"/>
  <c r="AG210" i="13"/>
  <c r="AS210" i="13"/>
  <c r="BE210" i="13"/>
  <c r="AH211" i="13"/>
  <c r="AT211" i="13"/>
  <c r="BF211" i="13"/>
  <c r="AI212" i="13"/>
  <c r="AU212" i="13"/>
  <c r="BG212" i="13"/>
  <c r="AJ213" i="13"/>
  <c r="AZ171" i="13"/>
  <c r="AX16" i="28" s="1"/>
  <c r="AS172" i="13"/>
  <c r="AQ17" i="28" s="1"/>
  <c r="AQ173" i="13"/>
  <c r="AO18" i="28" s="1"/>
  <c r="AJ174" i="13"/>
  <c r="AH19" i="28" s="1"/>
  <c r="AH175" i="13"/>
  <c r="AF20" i="28" s="1"/>
  <c r="BJ175" i="13"/>
  <c r="BH20" i="28" s="1"/>
  <c r="BI176" i="13"/>
  <c r="BG21" i="28" s="1"/>
  <c r="BA177" i="13"/>
  <c r="AY22" i="28" s="1"/>
  <c r="AZ178" i="13"/>
  <c r="AX23" i="28" s="1"/>
  <c r="AV179" i="13"/>
  <c r="AT24" i="28" s="1"/>
  <c r="AQ180" i="13"/>
  <c r="AO25" i="28" s="1"/>
  <c r="AM181" i="13"/>
  <c r="AK26" i="28" s="1"/>
  <c r="AH182" i="13"/>
  <c r="AF27" i="28" s="1"/>
  <c r="BM182" i="13"/>
  <c r="BK27" i="28" s="1"/>
  <c r="BL183" i="13"/>
  <c r="BJ28" i="28" s="1"/>
  <c r="BE184" i="13"/>
  <c r="BC29" i="28" s="1"/>
  <c r="BC185" i="13"/>
  <c r="BA30" i="28" s="1"/>
  <c r="AV186" i="13"/>
  <c r="AT31" i="28" s="1"/>
  <c r="AT187" i="13"/>
  <c r="AR32" i="28" s="1"/>
  <c r="AL188" i="13"/>
  <c r="AJ33" i="28" s="1"/>
  <c r="BI188" i="13"/>
  <c r="BG33" i="28" s="1"/>
  <c r="AU189" i="13"/>
  <c r="AS34" i="28" s="1"/>
  <c r="AI190" i="13"/>
  <c r="BB190" i="13"/>
  <c r="AP191" i="13"/>
  <c r="BK191" i="13"/>
  <c r="AY192" i="13"/>
  <c r="AJ193" i="13"/>
  <c r="BG193" i="13"/>
  <c r="AR194" i="13"/>
  <c r="BO194" i="13"/>
  <c r="BA195" i="13"/>
  <c r="AO196" i="13"/>
  <c r="BH196" i="13"/>
  <c r="AV197" i="13"/>
  <c r="AH198" i="13"/>
  <c r="BE198" i="13"/>
  <c r="AP199" i="13"/>
  <c r="BL199" i="13"/>
  <c r="AT200" i="13"/>
  <c r="BM200" i="13"/>
  <c r="AU201" i="13"/>
  <c r="BN201" i="13"/>
  <c r="AV202" i="13"/>
  <c r="BO202" i="13"/>
  <c r="AW203" i="13"/>
  <c r="AG204" i="13"/>
  <c r="AX204" i="13"/>
  <c r="AH205" i="13"/>
  <c r="AY205" i="13"/>
  <c r="AG206" i="13"/>
  <c r="AT206" i="13"/>
  <c r="BG206" i="13"/>
  <c r="AK207" i="13"/>
  <c r="AX207" i="13"/>
  <c r="BK207" i="13"/>
  <c r="AO208" i="13"/>
  <c r="BB208" i="13"/>
  <c r="BO208" i="13"/>
  <c r="AS209" i="13"/>
  <c r="BE209" i="13"/>
  <c r="AH210" i="13"/>
  <c r="AT210" i="13"/>
  <c r="BF210" i="13"/>
  <c r="AI211" i="13"/>
  <c r="AU211" i="13"/>
  <c r="BG211" i="13"/>
  <c r="AJ212" i="13"/>
  <c r="AV212" i="13"/>
  <c r="BH212" i="13"/>
  <c r="AK213" i="13"/>
  <c r="AW213" i="13"/>
  <c r="BI213" i="13"/>
  <c r="AL214" i="13"/>
  <c r="AX214" i="13"/>
  <c r="BJ214" i="13"/>
  <c r="AM215" i="13"/>
  <c r="AY215" i="13"/>
  <c r="BK215" i="13"/>
  <c r="AN216" i="13"/>
  <c r="AZ216" i="13"/>
  <c r="BL216" i="13"/>
  <c r="AO217" i="13"/>
  <c r="BA217" i="13"/>
  <c r="BM217" i="13"/>
  <c r="BB171" i="13"/>
  <c r="AZ16" i="28" s="1"/>
  <c r="BG172" i="13"/>
  <c r="BE17" i="28" s="1"/>
  <c r="AR174" i="13"/>
  <c r="AP19" i="28" s="1"/>
  <c r="AW175" i="13"/>
  <c r="AU20" i="28" s="1"/>
  <c r="BK176" i="13"/>
  <c r="BI21" i="28" s="1"/>
  <c r="AJ178" i="13"/>
  <c r="AH23" i="28" s="1"/>
  <c r="BA179" i="13"/>
  <c r="AY24" i="28" s="1"/>
  <c r="BI180" i="13"/>
  <c r="BG25" i="28" s="1"/>
  <c r="AN182" i="13"/>
  <c r="AL27" i="28" s="1"/>
  <c r="AS183" i="13"/>
  <c r="AQ28" i="28" s="1"/>
  <c r="BM184" i="13"/>
  <c r="BK29" i="28" s="1"/>
  <c r="AI186" i="13"/>
  <c r="AG31" i="28" s="1"/>
  <c r="AW187" i="13"/>
  <c r="AU32" i="28" s="1"/>
  <c r="AW188" i="13"/>
  <c r="AU33" i="28" s="1"/>
  <c r="AY189" i="13"/>
  <c r="AW34" i="28" s="1"/>
  <c r="AS190" i="13"/>
  <c r="AS191" i="13"/>
  <c r="AM192" i="13"/>
  <c r="AO193" i="13"/>
  <c r="AH194" i="13"/>
  <c r="AH195" i="13"/>
  <c r="BL195" i="13"/>
  <c r="BN196" i="13"/>
  <c r="BG197" i="13"/>
  <c r="BG198" i="13"/>
  <c r="BA199" i="13"/>
  <c r="AX200" i="13"/>
  <c r="AM201" i="13"/>
  <c r="AG202" i="13"/>
  <c r="BE202" i="13"/>
  <c r="BA203" i="13"/>
  <c r="AP204" i="13"/>
  <c r="AJ205" i="13"/>
  <c r="BG205" i="13"/>
  <c r="AU206" i="13"/>
  <c r="BL206" i="13"/>
  <c r="AY207" i="13"/>
  <c r="AH208" i="13"/>
  <c r="BC208" i="13"/>
  <c r="AL209" i="13"/>
  <c r="BF209" i="13"/>
  <c r="AM210" i="13"/>
  <c r="BG210" i="13"/>
  <c r="AN211" i="13"/>
  <c r="BH211" i="13"/>
  <c r="AO212" i="13"/>
  <c r="BI212" i="13"/>
  <c r="AP213" i="13"/>
  <c r="BE213" i="13"/>
  <c r="AN214" i="13"/>
  <c r="BC214" i="13"/>
  <c r="AI215" i="13"/>
  <c r="BA215" i="13"/>
  <c r="AG216" i="13"/>
  <c r="AV216" i="13"/>
  <c r="BN216" i="13"/>
  <c r="AT217" i="13"/>
  <c r="BI217" i="13"/>
  <c r="AO218" i="13"/>
  <c r="BA218" i="13"/>
  <c r="BM218" i="13"/>
  <c r="AP219" i="13"/>
  <c r="BB219" i="13"/>
  <c r="BN219" i="13"/>
  <c r="AQ220" i="13"/>
  <c r="BC220" i="13"/>
  <c r="BO220" i="13"/>
  <c r="AR221" i="13"/>
  <c r="BD221" i="13"/>
  <c r="AG222" i="13"/>
  <c r="AS222" i="13"/>
  <c r="BE222" i="13"/>
  <c r="AH223" i="13"/>
  <c r="AT223" i="13"/>
  <c r="BF223" i="13"/>
  <c r="AI224" i="13"/>
  <c r="AU224" i="13"/>
  <c r="BG224" i="13"/>
  <c r="AJ225" i="13"/>
  <c r="AV225" i="13"/>
  <c r="BH225" i="13"/>
  <c r="AK226" i="13"/>
  <c r="AW226" i="13"/>
  <c r="BI226" i="13"/>
  <c r="AL227" i="13"/>
  <c r="AX227" i="13"/>
  <c r="BJ227" i="13"/>
  <c r="AM228" i="13"/>
  <c r="AY228" i="13"/>
  <c r="BK228" i="13"/>
  <c r="AN229" i="13"/>
  <c r="BD171" i="13"/>
  <c r="BB16" i="28" s="1"/>
  <c r="BH172" i="13"/>
  <c r="BF17" i="28" s="1"/>
  <c r="AS174" i="13"/>
  <c r="AQ19" i="28" s="1"/>
  <c r="AX175" i="13"/>
  <c r="AV20" i="28" s="1"/>
  <c r="BL176" i="13"/>
  <c r="BJ21" i="28" s="1"/>
  <c r="AK178" i="13"/>
  <c r="AI23" i="28" s="1"/>
  <c r="BB179" i="13"/>
  <c r="AZ24" i="28" s="1"/>
  <c r="BJ180" i="13"/>
  <c r="BH25" i="28" s="1"/>
  <c r="AO182" i="13"/>
  <c r="AM27" i="28" s="1"/>
  <c r="AT183" i="13"/>
  <c r="AR28" i="28" s="1"/>
  <c r="BN184" i="13"/>
  <c r="BL29" i="28" s="1"/>
  <c r="AJ186" i="13"/>
  <c r="AH31" i="28" s="1"/>
  <c r="AX187" i="13"/>
  <c r="AV32" i="28" s="1"/>
  <c r="AX188" i="13"/>
  <c r="AV33" i="28" s="1"/>
  <c r="AZ189" i="13"/>
  <c r="AX34" i="28" s="1"/>
  <c r="AU190" i="13"/>
  <c r="AT191" i="13"/>
  <c r="AN192" i="13"/>
  <c r="AP193" i="13"/>
  <c r="AJ194" i="13"/>
  <c r="AI195" i="13"/>
  <c r="BM195" i="13"/>
  <c r="BO196" i="13"/>
  <c r="BH197" i="13"/>
  <c r="BH198" i="13"/>
  <c r="BB199" i="13"/>
  <c r="AY200" i="13"/>
  <c r="AN201" i="13"/>
  <c r="AH202" i="13"/>
  <c r="BF202" i="13"/>
  <c r="BB203" i="13"/>
  <c r="AQ204" i="13"/>
  <c r="AK205" i="13"/>
  <c r="BH205" i="13"/>
  <c r="AV206" i="13"/>
  <c r="BM206" i="13"/>
  <c r="AZ207" i="13"/>
  <c r="AI208" i="13"/>
  <c r="BD208" i="13"/>
  <c r="AM209" i="13"/>
  <c r="BG209" i="13"/>
  <c r="AN210" i="13"/>
  <c r="BH210" i="13"/>
  <c r="AO211" i="13"/>
  <c r="BI211" i="13"/>
  <c r="AP212" i="13"/>
  <c r="BJ212" i="13"/>
  <c r="AQ213" i="13"/>
  <c r="BH213" i="13"/>
  <c r="AO214" i="13"/>
  <c r="BD214" i="13"/>
  <c r="AL215" i="13"/>
  <c r="BB215" i="13"/>
  <c r="AH216" i="13"/>
  <c r="AY216" i="13"/>
  <c r="BO216" i="13"/>
  <c r="AU217" i="13"/>
  <c r="BL217" i="13"/>
  <c r="AP218" i="13"/>
  <c r="BB218" i="13"/>
  <c r="BN218" i="13"/>
  <c r="AQ219" i="13"/>
  <c r="BC219" i="13"/>
  <c r="BO219" i="13"/>
  <c r="AR220" i="13"/>
  <c r="BD220" i="13"/>
  <c r="AG221" i="13"/>
  <c r="AS221" i="13"/>
  <c r="BE221" i="13"/>
  <c r="AH222" i="13"/>
  <c r="AT222" i="13"/>
  <c r="BF222" i="13"/>
  <c r="AI223" i="13"/>
  <c r="AU223" i="13"/>
  <c r="BG223" i="13"/>
  <c r="AJ224" i="13"/>
  <c r="AV224" i="13"/>
  <c r="BH224" i="13"/>
  <c r="AK225" i="13"/>
  <c r="AW225" i="13"/>
  <c r="BI225" i="13"/>
  <c r="AL226" i="13"/>
  <c r="AX226" i="13"/>
  <c r="BJ226" i="13"/>
  <c r="AM227" i="13"/>
  <c r="BE171" i="13"/>
  <c r="BC16" i="28" s="1"/>
  <c r="BM172" i="13"/>
  <c r="BK17" i="28" s="1"/>
  <c r="AU174" i="13"/>
  <c r="AS19" i="28" s="1"/>
  <c r="AY175" i="13"/>
  <c r="AW20" i="28" s="1"/>
  <c r="AH177" i="13"/>
  <c r="AF22" i="28" s="1"/>
  <c r="AM178" i="13"/>
  <c r="AK23" i="28" s="1"/>
  <c r="BC179" i="13"/>
  <c r="BA24" i="28" s="1"/>
  <c r="BK180" i="13"/>
  <c r="BI25" i="28" s="1"/>
  <c r="AQ182" i="13"/>
  <c r="AO27" i="28" s="1"/>
  <c r="AU183" i="13"/>
  <c r="AS28" i="28" s="1"/>
  <c r="BO184" i="13"/>
  <c r="BM29" i="28" s="1"/>
  <c r="AK186" i="13"/>
  <c r="AI31" i="28" s="1"/>
  <c r="AY187" i="13"/>
  <c r="AW32" i="28" s="1"/>
  <c r="AY188" i="13"/>
  <c r="AW33" i="28" s="1"/>
  <c r="BA189" i="13"/>
  <c r="AY34" i="28" s="1"/>
  <c r="AV190" i="13"/>
  <c r="AV191" i="13"/>
  <c r="AO192" i="13"/>
  <c r="AQ193" i="13"/>
  <c r="AK194" i="13"/>
  <c r="AK195" i="13"/>
  <c r="BN195" i="13"/>
  <c r="AG197" i="13"/>
  <c r="BI197" i="13"/>
  <c r="BI198" i="13"/>
  <c r="BD199" i="13"/>
  <c r="AZ200" i="13"/>
  <c r="AO201" i="13"/>
  <c r="AI202" i="13"/>
  <c r="BG202" i="13"/>
  <c r="BC203" i="13"/>
  <c r="AR204" i="13"/>
  <c r="AL205" i="13"/>
  <c r="BI205" i="13"/>
  <c r="AW206" i="13"/>
  <c r="BN206" i="13"/>
  <c r="BA207" i="13"/>
  <c r="AJ208" i="13"/>
  <c r="BF208" i="13"/>
  <c r="AN209" i="13"/>
  <c r="BH209" i="13"/>
  <c r="AO210" i="13"/>
  <c r="BI210" i="13"/>
  <c r="AP211" i="13"/>
  <c r="BJ211" i="13"/>
  <c r="AQ212" i="13"/>
  <c r="BK212" i="13"/>
  <c r="AR213" i="13"/>
  <c r="BJ213" i="13"/>
  <c r="AP214" i="13"/>
  <c r="BE214" i="13"/>
  <c r="AN215" i="13"/>
  <c r="BC215" i="13"/>
  <c r="AI216" i="13"/>
  <c r="BA216" i="13"/>
  <c r="AG217" i="13"/>
  <c r="AV217" i="13"/>
  <c r="BN217" i="13"/>
  <c r="AQ218" i="13"/>
  <c r="BC218" i="13"/>
  <c r="BO218" i="13"/>
  <c r="AR219" i="13"/>
  <c r="BD219" i="13"/>
  <c r="AG220" i="13"/>
  <c r="AS220" i="13"/>
  <c r="BE220" i="13"/>
  <c r="AH221" i="13"/>
  <c r="AT221" i="13"/>
  <c r="BF221" i="13"/>
  <c r="AI222" i="13"/>
  <c r="AU222" i="13"/>
  <c r="BG222" i="13"/>
  <c r="AJ223" i="13"/>
  <c r="AV223" i="13"/>
  <c r="BH223" i="13"/>
  <c r="AK224" i="13"/>
  <c r="AW224" i="13"/>
  <c r="BI224" i="13"/>
  <c r="AL225" i="13"/>
  <c r="AX225" i="13"/>
  <c r="BJ225" i="13"/>
  <c r="AM226" i="13"/>
  <c r="AY226" i="13"/>
  <c r="BK226" i="13"/>
  <c r="AN227" i="13"/>
  <c r="AZ227" i="13"/>
  <c r="BL227" i="13"/>
  <c r="AO228" i="13"/>
  <c r="BF171" i="13"/>
  <c r="BD16" i="28" s="1"/>
  <c r="BN172" i="13"/>
  <c r="BL17" i="28" s="1"/>
  <c r="AV174" i="13"/>
  <c r="AT19" i="28" s="1"/>
  <c r="BD175" i="13"/>
  <c r="BB20" i="28" s="1"/>
  <c r="AI177" i="13"/>
  <c r="AG22" i="28" s="1"/>
  <c r="AN178" i="13"/>
  <c r="AL23" i="28" s="1"/>
  <c r="BH179" i="13"/>
  <c r="BF24" i="28" s="1"/>
  <c r="BM180" i="13"/>
  <c r="BK25" i="28" s="1"/>
  <c r="AR182" i="13"/>
  <c r="AP27" i="28" s="1"/>
  <c r="AZ183" i="13"/>
  <c r="AX28" i="28" s="1"/>
  <c r="AH185" i="13"/>
  <c r="AF30" i="28" s="1"/>
  <c r="AL186" i="13"/>
  <c r="AJ31" i="28" s="1"/>
  <c r="BD187" i="13"/>
  <c r="BB32" i="28" s="1"/>
  <c r="AZ188" i="13"/>
  <c r="AX33" i="28" s="1"/>
  <c r="BC189" i="13"/>
  <c r="BA34" i="28" s="1"/>
  <c r="AW190" i="13"/>
  <c r="AW191" i="13"/>
  <c r="AP192" i="13"/>
  <c r="AR193" i="13"/>
  <c r="AM194" i="13"/>
  <c r="AL195" i="13"/>
  <c r="BO195" i="13"/>
  <c r="AH197" i="13"/>
  <c r="BK197" i="13"/>
  <c r="BJ198" i="13"/>
  <c r="BE199" i="13"/>
  <c r="BA200" i="13"/>
  <c r="AP201" i="13"/>
  <c r="AJ202" i="13"/>
  <c r="BH202" i="13"/>
  <c r="BD203" i="13"/>
  <c r="AS204" i="13"/>
  <c r="AM205" i="13"/>
  <c r="BJ205" i="13"/>
  <c r="AX206" i="13"/>
  <c r="AG207" i="13"/>
  <c r="BB207" i="13"/>
  <c r="AK208" i="13"/>
  <c r="BG208" i="13"/>
  <c r="AO209" i="13"/>
  <c r="BI209" i="13"/>
  <c r="AP210" i="13"/>
  <c r="BJ210" i="13"/>
  <c r="AQ211" i="13"/>
  <c r="BK211" i="13"/>
  <c r="AR212" i="13"/>
  <c r="BL212" i="13"/>
  <c r="AS213" i="13"/>
  <c r="BK213" i="13"/>
  <c r="AQ214" i="13"/>
  <c r="BF214" i="13"/>
  <c r="AO215" i="13"/>
  <c r="BD215" i="13"/>
  <c r="AJ216" i="13"/>
  <c r="BB216" i="13"/>
  <c r="AH217" i="13"/>
  <c r="AW217" i="13"/>
  <c r="BO217" i="13"/>
  <c r="AR218" i="13"/>
  <c r="BD218" i="13"/>
  <c r="AG219" i="13"/>
  <c r="AS219" i="13"/>
  <c r="BE219" i="13"/>
  <c r="AH220" i="13"/>
  <c r="AT220" i="13"/>
  <c r="BF220" i="13"/>
  <c r="AI221" i="13"/>
  <c r="AU221" i="13"/>
  <c r="BG221" i="13"/>
  <c r="AJ222" i="13"/>
  <c r="AV222" i="13"/>
  <c r="BH222" i="13"/>
  <c r="AK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AI172" i="13"/>
  <c r="AG17" i="28" s="1"/>
  <c r="AW173" i="13"/>
  <c r="AU18" i="28" s="1"/>
  <c r="BE174" i="13"/>
  <c r="BC19" i="28" s="1"/>
  <c r="AM176" i="13"/>
  <c r="AK21" i="28" s="1"/>
  <c r="AU177" i="13"/>
  <c r="AS22" i="28" s="1"/>
  <c r="BI178" i="13"/>
  <c r="BG23" i="28" s="1"/>
  <c r="BN179" i="13"/>
  <c r="BL24" i="28" s="1"/>
  <c r="AY181" i="13"/>
  <c r="AW26" i="28" s="1"/>
  <c r="BD182" i="13"/>
  <c r="BB27" i="28" s="1"/>
  <c r="AI184" i="13"/>
  <c r="AG29" i="28" s="1"/>
  <c r="AQ185" i="13"/>
  <c r="AO30" i="28" s="1"/>
  <c r="BH186" i="13"/>
  <c r="BF31" i="28" s="1"/>
  <c r="AG188" i="13"/>
  <c r="AE33" i="28" s="1"/>
  <c r="BO188" i="13"/>
  <c r="BM33" i="28" s="1"/>
  <c r="BI189" i="13"/>
  <c r="BG34" i="28" s="1"/>
  <c r="BK190" i="13"/>
  <c r="BE191" i="13"/>
  <c r="BD192" i="13"/>
  <c r="AY193" i="13"/>
  <c r="BA194" i="13"/>
  <c r="AT195" i="13"/>
  <c r="AT196" i="13"/>
  <c r="AN197" i="13"/>
  <c r="AQ198" i="13"/>
  <c r="AJ199" i="13"/>
  <c r="AH200" i="13"/>
  <c r="BF200" i="13"/>
  <c r="BB201" i="13"/>
  <c r="AQ202" i="13"/>
  <c r="AK203" i="13"/>
  <c r="BI203" i="13"/>
  <c r="BE204" i="13"/>
  <c r="AT205" i="13"/>
  <c r="AK206" i="13"/>
  <c r="BB206" i="13"/>
  <c r="AO207" i="13"/>
  <c r="BG207" i="13"/>
  <c r="AT208" i="13"/>
  <c r="BK208" i="13"/>
  <c r="AW209" i="13"/>
  <c r="BM209" i="13"/>
  <c r="AX210" i="13"/>
  <c r="BN210" i="13"/>
  <c r="AY211" i="13"/>
  <c r="BO211" i="13"/>
  <c r="AZ212" i="13"/>
  <c r="AG213" i="13"/>
  <c r="AZ213" i="13"/>
  <c r="BO213" i="13"/>
  <c r="AW214" i="13"/>
  <c r="BM214" i="13"/>
  <c r="AS215" i="13"/>
  <c r="BJ215" i="13"/>
  <c r="AQ216" i="13"/>
  <c r="BF216" i="13"/>
  <c r="AN217" i="13"/>
  <c r="BD217" i="13"/>
  <c r="AJ218" i="13"/>
  <c r="AV218" i="13"/>
  <c r="BH218" i="13"/>
  <c r="AK219" i="13"/>
  <c r="AW219" i="13"/>
  <c r="BI219" i="13"/>
  <c r="AL220" i="13"/>
  <c r="AX220" i="13"/>
  <c r="BJ220" i="13"/>
  <c r="AM221" i="13"/>
  <c r="AY221" i="13"/>
  <c r="BK221" i="13"/>
  <c r="AN222" i="13"/>
  <c r="BN171" i="13"/>
  <c r="BL16" i="28" s="1"/>
  <c r="BH173" i="13"/>
  <c r="BF18" i="28" s="1"/>
  <c r="AS176" i="13"/>
  <c r="AQ21" i="28" s="1"/>
  <c r="BG178" i="13"/>
  <c r="BE23" i="28" s="1"/>
  <c r="BA180" i="13"/>
  <c r="AY25" i="28" s="1"/>
  <c r="AN183" i="13"/>
  <c r="AL28" i="28" s="1"/>
  <c r="AP185" i="13"/>
  <c r="AN30" i="28" s="1"/>
  <c r="BI187" i="13"/>
  <c r="BG32" i="28" s="1"/>
  <c r="AM189" i="13"/>
  <c r="AK34" i="28" s="1"/>
  <c r="BM190" i="13"/>
  <c r="BB192" i="13"/>
  <c r="BM193" i="13"/>
  <c r="BF195" i="13"/>
  <c r="AM197" i="13"/>
  <c r="AG199" i="13"/>
  <c r="AN200" i="13"/>
  <c r="BD201" i="13"/>
  <c r="AI203" i="13"/>
  <c r="AL204" i="13"/>
  <c r="BD205" i="13"/>
  <c r="BA206" i="13"/>
  <c r="BC207" i="13"/>
  <c r="AW208" i="13"/>
  <c r="AX209" i="13"/>
  <c r="AV210" i="13"/>
  <c r="AM211" i="13"/>
  <c r="AL212" i="13"/>
  <c r="BO212" i="13"/>
  <c r="BL213" i="13"/>
  <c r="BA214" i="13"/>
  <c r="AT215" i="13"/>
  <c r="AO216" i="13"/>
  <c r="BM216" i="13"/>
  <c r="BF217" i="13"/>
  <c r="AU218" i="13"/>
  <c r="AH219" i="13"/>
  <c r="AZ219" i="13"/>
  <c r="AM220" i="13"/>
  <c r="BH220" i="13"/>
  <c r="AQ221" i="13"/>
  <c r="BM221" i="13"/>
  <c r="AY222" i="13"/>
  <c r="BO222" i="13"/>
  <c r="AZ223" i="13"/>
  <c r="AG224" i="13"/>
  <c r="BA224" i="13"/>
  <c r="AH225" i="13"/>
  <c r="BB225" i="13"/>
  <c r="AI226" i="13"/>
  <c r="BC226" i="13"/>
  <c r="AJ227" i="13"/>
  <c r="BC227" i="13"/>
  <c r="AI228" i="13"/>
  <c r="AX228" i="13"/>
  <c r="BM228" i="13"/>
  <c r="AS229" i="13"/>
  <c r="BF229" i="13"/>
  <c r="AJ230" i="13"/>
  <c r="AW230" i="13"/>
  <c r="BI230" i="13"/>
  <c r="AL231" i="13"/>
  <c r="AX231" i="13"/>
  <c r="BJ231" i="13"/>
  <c r="AM232" i="13"/>
  <c r="AY232" i="13"/>
  <c r="BK232" i="13"/>
  <c r="AN233" i="13"/>
  <c r="AZ233" i="13"/>
  <c r="BL233" i="13"/>
  <c r="AO234" i="13"/>
  <c r="BA234" i="13"/>
  <c r="BM234" i="13"/>
  <c r="AP235" i="13"/>
  <c r="BB235" i="13"/>
  <c r="BN235" i="13"/>
  <c r="AQ236" i="13"/>
  <c r="BC236" i="13"/>
  <c r="BO236" i="13"/>
  <c r="AR237" i="13"/>
  <c r="BD237" i="13"/>
  <c r="AG238" i="13"/>
  <c r="AS238" i="13"/>
  <c r="BE238" i="13"/>
  <c r="AH239" i="13"/>
  <c r="AT239" i="13"/>
  <c r="BF239" i="13"/>
  <c r="AI240" i="13"/>
  <c r="AU240" i="13"/>
  <c r="BG240" i="13"/>
  <c r="AJ241" i="13"/>
  <c r="AV241" i="13"/>
  <c r="BH241" i="13"/>
  <c r="AK242" i="13"/>
  <c r="AW242" i="13"/>
  <c r="BI242" i="13"/>
  <c r="AL243" i="13"/>
  <c r="AX243" i="13"/>
  <c r="BJ243" i="13"/>
  <c r="AM244" i="13"/>
  <c r="AY244" i="13"/>
  <c r="BK244" i="13"/>
  <c r="AN245" i="13"/>
  <c r="AZ245" i="13"/>
  <c r="BL245" i="13"/>
  <c r="AO246" i="13"/>
  <c r="BA246" i="13"/>
  <c r="BM246" i="13"/>
  <c r="AP247" i="13"/>
  <c r="BB247" i="13"/>
  <c r="BN247" i="13"/>
  <c r="AQ248" i="13"/>
  <c r="BC248" i="13"/>
  <c r="BO248" i="13"/>
  <c r="AR249" i="13"/>
  <c r="BD249" i="13"/>
  <c r="AG250" i="13"/>
  <c r="AS250" i="13"/>
  <c r="BE250" i="13"/>
  <c r="AH251" i="13"/>
  <c r="AT251" i="13"/>
  <c r="BF251" i="13"/>
  <c r="AI252" i="13"/>
  <c r="AU252" i="13"/>
  <c r="BG252" i="13"/>
  <c r="AJ253" i="13"/>
  <c r="AV253" i="13"/>
  <c r="BH253" i="13"/>
  <c r="AK254" i="13"/>
  <c r="AW254" i="13"/>
  <c r="BI254" i="13"/>
  <c r="AL255" i="13"/>
  <c r="AX255" i="13"/>
  <c r="BJ255" i="13"/>
  <c r="AM256" i="13"/>
  <c r="AY256" i="13"/>
  <c r="BK256" i="13"/>
  <c r="AN257" i="13"/>
  <c r="AZ257" i="13"/>
  <c r="BL257" i="13"/>
  <c r="AO258" i="13"/>
  <c r="BA258" i="13"/>
  <c r="BM258" i="13"/>
  <c r="AP259" i="13"/>
  <c r="BB259" i="13"/>
  <c r="BN259" i="13"/>
  <c r="AQ260" i="13"/>
  <c r="BC260" i="13"/>
  <c r="BO260" i="13"/>
  <c r="AR261" i="13"/>
  <c r="BD261" i="13"/>
  <c r="AG262" i="13"/>
  <c r="AS262" i="13"/>
  <c r="BE262" i="13"/>
  <c r="AH263" i="13"/>
  <c r="AT263" i="13"/>
  <c r="BF263" i="13"/>
  <c r="AI264" i="13"/>
  <c r="AU264" i="13"/>
  <c r="AG172" i="13"/>
  <c r="AE17" i="28" s="1"/>
  <c r="BI173" i="13"/>
  <c r="BG18" i="28" s="1"/>
  <c r="AT176" i="13"/>
  <c r="AR21" i="28" s="1"/>
  <c r="BH178" i="13"/>
  <c r="BF23" i="28" s="1"/>
  <c r="AR181" i="13"/>
  <c r="AP26" i="28" s="1"/>
  <c r="AO183" i="13"/>
  <c r="AM28" i="28" s="1"/>
  <c r="BF185" i="13"/>
  <c r="BD30" i="28" s="1"/>
  <c r="BJ187" i="13"/>
  <c r="BH32" i="28" s="1"/>
  <c r="AN189" i="13"/>
  <c r="AL34" i="28" s="1"/>
  <c r="BN190" i="13"/>
  <c r="BC192" i="13"/>
  <c r="AW194" i="13"/>
  <c r="BG195" i="13"/>
  <c r="AY197" i="13"/>
  <c r="AH199" i="13"/>
  <c r="AO200" i="13"/>
  <c r="BE201" i="13"/>
  <c r="AJ203" i="13"/>
  <c r="BB204" i="13"/>
  <c r="BE205" i="13"/>
  <c r="BH206" i="13"/>
  <c r="BE207" i="13"/>
  <c r="AX208" i="13"/>
  <c r="AY209" i="13"/>
  <c r="AW210" i="13"/>
  <c r="AV211" i="13"/>
  <c r="AM212" i="13"/>
  <c r="AL213" i="13"/>
  <c r="BM213" i="13"/>
  <c r="BB214" i="13"/>
  <c r="AU215" i="13"/>
  <c r="AP216" i="13"/>
  <c r="AI217" i="13"/>
  <c r="BG217" i="13"/>
  <c r="AW218" i="13"/>
  <c r="AI219" i="13"/>
  <c r="BA219" i="13"/>
  <c r="AN220" i="13"/>
  <c r="BI220" i="13"/>
  <c r="AV221" i="13"/>
  <c r="BN221" i="13"/>
  <c r="AZ222" i="13"/>
  <c r="AG223" i="13"/>
  <c r="BA223" i="13"/>
  <c r="AH224" i="13"/>
  <c r="BB224" i="13"/>
  <c r="AI225" i="13"/>
  <c r="BC225" i="13"/>
  <c r="AJ226" i="13"/>
  <c r="BD226" i="13"/>
  <c r="AK227" i="13"/>
  <c r="BD227" i="13"/>
  <c r="AJ228" i="13"/>
  <c r="AZ228" i="13"/>
  <c r="BO228" i="13"/>
  <c r="AT229" i="13"/>
  <c r="BG229" i="13"/>
  <c r="AK230" i="13"/>
  <c r="AX230" i="13"/>
  <c r="BJ230" i="13"/>
  <c r="AM231" i="13"/>
  <c r="AY231" i="13"/>
  <c r="BK231" i="13"/>
  <c r="AN232" i="13"/>
  <c r="AZ232" i="13"/>
  <c r="BL232" i="13"/>
  <c r="AO233" i="13"/>
  <c r="BA233" i="13"/>
  <c r="BM233" i="13"/>
  <c r="AP234" i="13"/>
  <c r="BB234" i="13"/>
  <c r="BN234" i="13"/>
  <c r="AQ235" i="13"/>
  <c r="BC235" i="13"/>
  <c r="BO235" i="13"/>
  <c r="AR236" i="13"/>
  <c r="BD236" i="13"/>
  <c r="AG237" i="13"/>
  <c r="AS237" i="13"/>
  <c r="BE237" i="13"/>
  <c r="AH238" i="13"/>
  <c r="AT238" i="13"/>
  <c r="BF238" i="13"/>
  <c r="AI239" i="13"/>
  <c r="AU239" i="13"/>
  <c r="BG239" i="13"/>
  <c r="AJ240" i="13"/>
  <c r="AV240" i="13"/>
  <c r="BH240" i="13"/>
  <c r="AK241" i="13"/>
  <c r="AW241" i="13"/>
  <c r="BI241" i="13"/>
  <c r="AL242" i="13"/>
  <c r="AX242" i="13"/>
  <c r="BJ242" i="13"/>
  <c r="AM243" i="13"/>
  <c r="AY243" i="13"/>
  <c r="BK243" i="13"/>
  <c r="AN244" i="13"/>
  <c r="AZ244" i="13"/>
  <c r="BL244" i="13"/>
  <c r="AO245" i="13"/>
  <c r="BA245" i="13"/>
  <c r="BM245" i="13"/>
  <c r="AP246" i="13"/>
  <c r="BB246" i="13"/>
  <c r="BN246" i="13"/>
  <c r="AQ247" i="13"/>
  <c r="BC247" i="13"/>
  <c r="BO247" i="13"/>
  <c r="AR248" i="13"/>
  <c r="BD248" i="13"/>
  <c r="AG249" i="13"/>
  <c r="AS249" i="13"/>
  <c r="BE249" i="13"/>
  <c r="AH250" i="13"/>
  <c r="AT250" i="13"/>
  <c r="BF250" i="13"/>
  <c r="AI251" i="13"/>
  <c r="AU251" i="13"/>
  <c r="BG251" i="13"/>
  <c r="AJ252" i="13"/>
  <c r="AV252" i="13"/>
  <c r="BH252" i="13"/>
  <c r="AK253" i="13"/>
  <c r="AW253" i="13"/>
  <c r="BI253" i="13"/>
  <c r="AL254" i="13"/>
  <c r="AX254" i="13"/>
  <c r="BJ254" i="13"/>
  <c r="AM255" i="13"/>
  <c r="AY255" i="13"/>
  <c r="BK255" i="13"/>
  <c r="AN256" i="13"/>
  <c r="AZ256" i="13"/>
  <c r="BL256" i="13"/>
  <c r="AO257" i="13"/>
  <c r="BA257" i="13"/>
  <c r="BM257" i="13"/>
  <c r="AP258" i="13"/>
  <c r="BB258" i="13"/>
  <c r="BN258" i="13"/>
  <c r="AQ259" i="13"/>
  <c r="BC259" i="13"/>
  <c r="BO259" i="13"/>
  <c r="AR260" i="13"/>
  <c r="BD260" i="13"/>
  <c r="AG261" i="13"/>
  <c r="AS261" i="13"/>
  <c r="BE261" i="13"/>
  <c r="AH262" i="13"/>
  <c r="AT262" i="13"/>
  <c r="BF262" i="13"/>
  <c r="AI263" i="13"/>
  <c r="AU263" i="13"/>
  <c r="BG263" i="13"/>
  <c r="AJ264" i="13"/>
  <c r="AV264" i="13"/>
  <c r="AH172" i="13"/>
  <c r="AF17" i="28" s="1"/>
  <c r="AX174" i="13"/>
  <c r="AV19" i="28" s="1"/>
  <c r="AU176" i="13"/>
  <c r="AS21" i="28" s="1"/>
  <c r="BN178" i="13"/>
  <c r="BL23" i="28" s="1"/>
  <c r="AS181" i="13"/>
  <c r="AQ26" i="28" s="1"/>
  <c r="AP183" i="13"/>
  <c r="AN28" i="28" s="1"/>
  <c r="BG185" i="13"/>
  <c r="BE30" i="28" s="1"/>
  <c r="BK187" i="13"/>
  <c r="BI32" i="28" s="1"/>
  <c r="BF189" i="13"/>
  <c r="BD34" i="28" s="1"/>
  <c r="AG191" i="13"/>
  <c r="BJ192" i="13"/>
  <c r="AY194" i="13"/>
  <c r="BI195" i="13"/>
  <c r="AZ197" i="13"/>
  <c r="AI199" i="13"/>
  <c r="BC200" i="13"/>
  <c r="BF201" i="13"/>
  <c r="AO203" i="13"/>
  <c r="BC204" i="13"/>
  <c r="BF205" i="13"/>
  <c r="BI206" i="13"/>
  <c r="BF207" i="13"/>
  <c r="BH208" i="13"/>
  <c r="AZ209" i="13"/>
  <c r="AY210" i="13"/>
  <c r="AW211" i="13"/>
  <c r="AN212" i="13"/>
  <c r="AM213" i="13"/>
  <c r="BN213" i="13"/>
  <c r="BI214" i="13"/>
  <c r="AX215" i="13"/>
  <c r="AR216" i="13"/>
  <c r="AJ217" i="13"/>
  <c r="BH217" i="13"/>
  <c r="AX218" i="13"/>
  <c r="AJ219" i="13"/>
  <c r="BF219" i="13"/>
  <c r="AO220" i="13"/>
  <c r="BK220" i="13"/>
  <c r="AW221" i="13"/>
  <c r="BO221" i="13"/>
  <c r="BA222" i="13"/>
  <c r="AL223" i="13"/>
  <c r="BB223" i="13"/>
  <c r="AM224" i="13"/>
  <c r="BC224" i="13"/>
  <c r="AN225" i="13"/>
  <c r="BD225" i="13"/>
  <c r="AO226" i="13"/>
  <c r="BE226" i="13"/>
  <c r="AP227" i="13"/>
  <c r="BE227" i="13"/>
  <c r="AK228" i="13"/>
  <c r="BA228" i="13"/>
  <c r="AG229" i="13"/>
  <c r="AU229" i="13"/>
  <c r="BH229" i="13"/>
  <c r="AL230" i="13"/>
  <c r="AY230" i="13"/>
  <c r="BK230" i="13"/>
  <c r="AN231" i="13"/>
  <c r="AZ231" i="13"/>
  <c r="BL231" i="13"/>
  <c r="AO232" i="13"/>
  <c r="BA232" i="13"/>
  <c r="BM232" i="13"/>
  <c r="AP233" i="13"/>
  <c r="BB233" i="13"/>
  <c r="BN233" i="13"/>
  <c r="AQ234" i="13"/>
  <c r="BC234" i="13"/>
  <c r="BO234" i="13"/>
  <c r="AR235" i="13"/>
  <c r="BD235" i="13"/>
  <c r="AG236" i="13"/>
  <c r="AS236" i="13"/>
  <c r="BE236" i="13"/>
  <c r="AH237" i="13"/>
  <c r="AT237" i="13"/>
  <c r="BF237" i="13"/>
  <c r="AI238" i="13"/>
  <c r="AU238" i="13"/>
  <c r="BG238" i="13"/>
  <c r="AJ239" i="13"/>
  <c r="AV239" i="13"/>
  <c r="BH239" i="13"/>
  <c r="AK240" i="13"/>
  <c r="AW240" i="13"/>
  <c r="BI240" i="13"/>
  <c r="AL241" i="13"/>
  <c r="AX241" i="13"/>
  <c r="BJ241" i="13"/>
  <c r="AM242" i="13"/>
  <c r="AY242" i="13"/>
  <c r="BK242" i="13"/>
  <c r="BA172" i="13"/>
  <c r="AY17" i="28" s="1"/>
  <c r="BC174" i="13"/>
  <c r="BA19" i="28" s="1"/>
  <c r="AW176" i="13"/>
  <c r="AU21" i="28" s="1"/>
  <c r="AJ179" i="13"/>
  <c r="AH24" i="28" s="1"/>
  <c r="AX181" i="13"/>
  <c r="AV26" i="28" s="1"/>
  <c r="BN183" i="13"/>
  <c r="BL28" i="28" s="1"/>
  <c r="BH185" i="13"/>
  <c r="BF30" i="28" s="1"/>
  <c r="AQ188" i="13"/>
  <c r="AO33" i="28" s="1"/>
  <c r="BG189" i="13"/>
  <c r="BE34" i="28" s="1"/>
  <c r="AH191" i="13"/>
  <c r="BK192" i="13"/>
  <c r="AZ194" i="13"/>
  <c r="AQ196" i="13"/>
  <c r="BB197" i="13"/>
  <c r="AU199" i="13"/>
  <c r="BD200" i="13"/>
  <c r="BG201" i="13"/>
  <c r="AP203" i="13"/>
  <c r="BD204" i="13"/>
  <c r="AH206" i="13"/>
  <c r="BJ206" i="13"/>
  <c r="BL207" i="13"/>
  <c r="BI208" i="13"/>
  <c r="BA209" i="13"/>
  <c r="AZ210" i="13"/>
  <c r="AX211" i="13"/>
  <c r="AW212" i="13"/>
  <c r="AN213" i="13"/>
  <c r="AG214" i="13"/>
  <c r="BK214" i="13"/>
  <c r="AZ215" i="13"/>
  <c r="AS216" i="13"/>
  <c r="AK217" i="13"/>
  <c r="AG218" i="13"/>
  <c r="AY218" i="13"/>
  <c r="AL219" i="13"/>
  <c r="BG219" i="13"/>
  <c r="AP220" i="13"/>
  <c r="BL220" i="13"/>
  <c r="AX221" i="13"/>
  <c r="AK222" i="13"/>
  <c r="BB222" i="13"/>
  <c r="AM223" i="13"/>
  <c r="BC223" i="13"/>
  <c r="AN224" i="13"/>
  <c r="BD224" i="13"/>
  <c r="AO225" i="13"/>
  <c r="BE225" i="13"/>
  <c r="AP226" i="13"/>
  <c r="BF226" i="13"/>
  <c r="AQ227" i="13"/>
  <c r="BF227" i="13"/>
  <c r="AL228" i="13"/>
  <c r="BC228" i="13"/>
  <c r="AH229" i="13"/>
  <c r="AV229" i="13"/>
  <c r="BI229" i="13"/>
  <c r="AM230" i="13"/>
  <c r="AZ230" i="13"/>
  <c r="BL230" i="13"/>
  <c r="AO231" i="13"/>
  <c r="BA231" i="13"/>
  <c r="BM231" i="13"/>
  <c r="AP232" i="13"/>
  <c r="BB232" i="13"/>
  <c r="BN232" i="13"/>
  <c r="AQ233" i="13"/>
  <c r="BC233" i="13"/>
  <c r="BO233" i="13"/>
  <c r="AR234" i="13"/>
  <c r="BD234" i="13"/>
  <c r="AG235" i="13"/>
  <c r="AS235" i="13"/>
  <c r="BE235" i="13"/>
  <c r="AH236" i="13"/>
  <c r="AT236" i="13"/>
  <c r="BF236" i="13"/>
  <c r="AI237" i="13"/>
  <c r="AU237" i="13"/>
  <c r="BG237" i="13"/>
  <c r="AJ238" i="13"/>
  <c r="AV238" i="13"/>
  <c r="BH238" i="13"/>
  <c r="AK239" i="13"/>
  <c r="AW239" i="13"/>
  <c r="BI239" i="13"/>
  <c r="AL240" i="13"/>
  <c r="AX240" i="13"/>
  <c r="BJ240" i="13"/>
  <c r="AM241" i="13"/>
  <c r="AY241" i="13"/>
  <c r="BK241" i="13"/>
  <c r="AN242" i="13"/>
  <c r="AZ242" i="13"/>
  <c r="BL242" i="13"/>
  <c r="AO243" i="13"/>
  <c r="BA243" i="13"/>
  <c r="BM243" i="13"/>
  <c r="AP244" i="13"/>
  <c r="BB244" i="13"/>
  <c r="BN244" i="13"/>
  <c r="AQ245" i="13"/>
  <c r="BC245" i="13"/>
  <c r="BO245" i="13"/>
  <c r="AR246" i="13"/>
  <c r="BD246" i="13"/>
  <c r="AG247" i="13"/>
  <c r="AS247" i="13"/>
  <c r="BE247" i="13"/>
  <c r="AH248" i="13"/>
  <c r="AT248" i="13"/>
  <c r="BF248" i="13"/>
  <c r="AI249" i="13"/>
  <c r="AU249" i="13"/>
  <c r="BG249" i="13"/>
  <c r="AJ250" i="13"/>
  <c r="AV250" i="13"/>
  <c r="BH250" i="13"/>
  <c r="AK251" i="13"/>
  <c r="AW251" i="13"/>
  <c r="BI251" i="13"/>
  <c r="AL252" i="13"/>
  <c r="AX252" i="13"/>
  <c r="BJ252" i="13"/>
  <c r="AM253" i="13"/>
  <c r="AY253" i="13"/>
  <c r="BK253" i="13"/>
  <c r="AN254" i="13"/>
  <c r="AZ254" i="13"/>
  <c r="BL254" i="13"/>
  <c r="AO255" i="13"/>
  <c r="BA255" i="13"/>
  <c r="BM255" i="13"/>
  <c r="AP256" i="13"/>
  <c r="BB256" i="13"/>
  <c r="BN256" i="13"/>
  <c r="AQ257" i="13"/>
  <c r="BC257" i="13"/>
  <c r="BO257" i="13"/>
  <c r="AR258" i="13"/>
  <c r="BD258" i="13"/>
  <c r="AG259" i="13"/>
  <c r="AS259" i="13"/>
  <c r="BE259" i="13"/>
  <c r="AH260" i="13"/>
  <c r="AT260" i="13"/>
  <c r="BF260" i="13"/>
  <c r="AI261" i="13"/>
  <c r="AU261" i="13"/>
  <c r="BG261" i="13"/>
  <c r="AJ262" i="13"/>
  <c r="AV262" i="13"/>
  <c r="BH262" i="13"/>
  <c r="AK263" i="13"/>
  <c r="AW263" i="13"/>
  <c r="BI263" i="13"/>
  <c r="AL264" i="13"/>
  <c r="AX264" i="13"/>
  <c r="BJ264" i="13"/>
  <c r="AM265" i="13"/>
  <c r="AY265" i="13"/>
  <c r="BK265" i="13"/>
  <c r="AN266" i="13"/>
  <c r="AZ266" i="13"/>
  <c r="BL266" i="13"/>
  <c r="AT173" i="13"/>
  <c r="AR18" i="28" s="1"/>
  <c r="AM175" i="13"/>
  <c r="AK20" i="28" s="1"/>
  <c r="BJ177" i="13"/>
  <c r="BH22" i="28" s="1"/>
  <c r="BL179" i="13"/>
  <c r="BJ24" i="28" s="1"/>
  <c r="BE181" i="13"/>
  <c r="BC26" i="28" s="1"/>
  <c r="AS184" i="13"/>
  <c r="AQ29" i="28" s="1"/>
  <c r="BG186" i="13"/>
  <c r="BE31" i="28" s="1"/>
  <c r="BK188" i="13"/>
  <c r="BI33" i="28" s="1"/>
  <c r="AM190" i="13"/>
  <c r="BO191" i="13"/>
  <c r="AV193" i="13"/>
  <c r="BF194" i="13"/>
  <c r="BA196" i="13"/>
  <c r="AO198" i="13"/>
  <c r="BN199" i="13"/>
  <c r="AH201" i="13"/>
  <c r="AZ202" i="13"/>
  <c r="BG203" i="13"/>
  <c r="BJ204" i="13"/>
  <c r="AM206" i="13"/>
  <c r="AN207" i="13"/>
  <c r="AP208" i="13"/>
  <c r="AJ209" i="13"/>
  <c r="AI210" i="13"/>
  <c r="BL210" i="13"/>
  <c r="BC211" i="13"/>
  <c r="BB212" i="13"/>
  <c r="AY213" i="13"/>
  <c r="AR214" i="13"/>
  <c r="AG215" i="13"/>
  <c r="BL215" i="13"/>
  <c r="BD216" i="13"/>
  <c r="AS217" i="13"/>
  <c r="AL218" i="13"/>
  <c r="BG218" i="13"/>
  <c r="AT219" i="13"/>
  <c r="BL219" i="13"/>
  <c r="AY220" i="13"/>
  <c r="AK221" i="13"/>
  <c r="BC221" i="13"/>
  <c r="AP222" i="13"/>
  <c r="BJ222" i="13"/>
  <c r="AQ223" i="13"/>
  <c r="BK223" i="13"/>
  <c r="AR224" i="13"/>
  <c r="BL224" i="13"/>
  <c r="AS225" i="13"/>
  <c r="BM225" i="13"/>
  <c r="AT226" i="13"/>
  <c r="BN226" i="13"/>
  <c r="AU227" i="13"/>
  <c r="BK227" i="13"/>
  <c r="AS228" i="13"/>
  <c r="BG228" i="13"/>
  <c r="AL229" i="13"/>
  <c r="AZ229" i="13"/>
  <c r="BM229" i="13"/>
  <c r="AQ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B172" i="13"/>
  <c r="AZ17" i="28" s="1"/>
  <c r="AK176" i="13"/>
  <c r="AI21" i="28" s="1"/>
  <c r="BM179" i="13"/>
  <c r="BK24" i="28" s="1"/>
  <c r="AH184" i="13"/>
  <c r="AF29" i="28" s="1"/>
  <c r="AH187" i="13"/>
  <c r="AF32" i="28" s="1"/>
  <c r="BH190" i="13"/>
  <c r="AU193" i="13"/>
  <c r="AR196" i="13"/>
  <c r="AU198" i="13"/>
  <c r="AI201" i="13"/>
  <c r="AR203" i="13"/>
  <c r="BC205" i="13"/>
  <c r="AQ207" i="13"/>
  <c r="AI209" i="13"/>
  <c r="BA210" i="13"/>
  <c r="BN211" i="13"/>
  <c r="BA213" i="13"/>
  <c r="BN214" i="13"/>
  <c r="AM216" i="13"/>
  <c r="BB217" i="13"/>
  <c r="BF218" i="13"/>
  <c r="BH219" i="13"/>
  <c r="BB220" i="13"/>
  <c r="BH221" i="13"/>
  <c r="BD222" i="13"/>
  <c r="AY223" i="13"/>
  <c r="AT224" i="13"/>
  <c r="AR225" i="13"/>
  <c r="AQ226" i="13"/>
  <c r="AH227" i="13"/>
  <c r="BN227" i="13"/>
  <c r="BE228" i="13"/>
  <c r="AR229" i="13"/>
  <c r="AG230" i="13"/>
  <c r="BC230" i="13"/>
  <c r="AP231" i="13"/>
  <c r="BH231" i="13"/>
  <c r="AU232" i="13"/>
  <c r="AG233" i="13"/>
  <c r="AY233" i="13"/>
  <c r="AL234" i="13"/>
  <c r="BG234" i="13"/>
  <c r="AT235" i="13"/>
  <c r="BL235" i="13"/>
  <c r="AY236" i="13"/>
  <c r="AK237" i="13"/>
  <c r="BC237" i="13"/>
  <c r="AP238" i="13"/>
  <c r="BK238" i="13"/>
  <c r="AX239" i="13"/>
  <c r="BO239" i="13"/>
  <c r="AZ240" i="13"/>
  <c r="AG241" i="13"/>
  <c r="BA241" i="13"/>
  <c r="AH242" i="13"/>
  <c r="BB242" i="13"/>
  <c r="AI243" i="13"/>
  <c r="AZ243" i="13"/>
  <c r="AG244" i="13"/>
  <c r="AV244" i="13"/>
  <c r="BM244" i="13"/>
  <c r="AT245" i="13"/>
  <c r="BI245" i="13"/>
  <c r="AQ246" i="13"/>
  <c r="BG246" i="13"/>
  <c r="AM247" i="13"/>
  <c r="BD247" i="13"/>
  <c r="AK248" i="13"/>
  <c r="AZ248" i="13"/>
  <c r="AH249" i="13"/>
  <c r="AX249" i="13"/>
  <c r="BM249" i="13"/>
  <c r="AU250" i="13"/>
  <c r="BK250" i="13"/>
  <c r="AQ251" i="13"/>
  <c r="BH251" i="13"/>
  <c r="AO252" i="13"/>
  <c r="BD252" i="13"/>
  <c r="AL253" i="13"/>
  <c r="BB253" i="13"/>
  <c r="AH254" i="13"/>
  <c r="AY254" i="13"/>
  <c r="BO254" i="13"/>
  <c r="AU255" i="13"/>
  <c r="BL255" i="13"/>
  <c r="AS256" i="13"/>
  <c r="BH256" i="13"/>
  <c r="AP257" i="13"/>
  <c r="BF257" i="13"/>
  <c r="AL258" i="13"/>
  <c r="BC258" i="13"/>
  <c r="AJ259" i="13"/>
  <c r="AY259" i="13"/>
  <c r="AG260" i="13"/>
  <c r="AW260" i="13"/>
  <c r="BL260" i="13"/>
  <c r="AT261" i="13"/>
  <c r="BJ261" i="13"/>
  <c r="AP262" i="13"/>
  <c r="BG262" i="13"/>
  <c r="AN263" i="13"/>
  <c r="BC263" i="13"/>
  <c r="AK264" i="13"/>
  <c r="BA264" i="13"/>
  <c r="BN264" i="13"/>
  <c r="AR265" i="13"/>
  <c r="BE265" i="13"/>
  <c r="AI266" i="13"/>
  <c r="AV266" i="13"/>
  <c r="BI266" i="13"/>
  <c r="AM267" i="13"/>
  <c r="AY267" i="13"/>
  <c r="BK267" i="13"/>
  <c r="AN268" i="13"/>
  <c r="AZ268" i="13"/>
  <c r="BL268" i="13"/>
  <c r="AO269" i="13"/>
  <c r="BA269" i="13"/>
  <c r="BM269" i="13"/>
  <c r="AQ170" i="13"/>
  <c r="AO15" i="28" s="1"/>
  <c r="BC170" i="13"/>
  <c r="BA15" i="28" s="1"/>
  <c r="BO170" i="13"/>
  <c r="BM15" i="28" s="1"/>
  <c r="Y172" i="13"/>
  <c r="AA17" i="28" s="1"/>
  <c r="Y175" i="13"/>
  <c r="AA20" i="28" s="1"/>
  <c r="Y178" i="13"/>
  <c r="AA23" i="28" s="1"/>
  <c r="Y181" i="13"/>
  <c r="AA26" i="28" s="1"/>
  <c r="Y184" i="13"/>
  <c r="AA29" i="28" s="1"/>
  <c r="Y187" i="13"/>
  <c r="AA32" i="28" s="1"/>
  <c r="Y190" i="13"/>
  <c r="Y193" i="13"/>
  <c r="Y196" i="13"/>
  <c r="Y199" i="13"/>
  <c r="Y202" i="13"/>
  <c r="Y205" i="13"/>
  <c r="Y208" i="13"/>
  <c r="Y211" i="13"/>
  <c r="Y214" i="13"/>
  <c r="Y217" i="13"/>
  <c r="Y220" i="13"/>
  <c r="Y223" i="13"/>
  <c r="Y226" i="13"/>
  <c r="Y229" i="13"/>
  <c r="Y232" i="13"/>
  <c r="Y235" i="13"/>
  <c r="Y238" i="13"/>
  <c r="Y241" i="13"/>
  <c r="Y244" i="13"/>
  <c r="Y247" i="13"/>
  <c r="Y250" i="13"/>
  <c r="Y253" i="13"/>
  <c r="Y256" i="13"/>
  <c r="Y259" i="13"/>
  <c r="Y262" i="13"/>
  <c r="Y265" i="13"/>
  <c r="Y268" i="13"/>
  <c r="T171" i="13"/>
  <c r="T177" i="13"/>
  <c r="T183" i="13"/>
  <c r="T189" i="13"/>
  <c r="T195" i="13"/>
  <c r="T201" i="13"/>
  <c r="T207" i="13"/>
  <c r="T213" i="13"/>
  <c r="T219" i="13"/>
  <c r="T225" i="13"/>
  <c r="T231" i="13"/>
  <c r="T237" i="13"/>
  <c r="T243" i="13"/>
  <c r="T249" i="13"/>
  <c r="T255" i="13"/>
  <c r="BC172" i="13"/>
  <c r="BA17" i="28" s="1"/>
  <c r="AL176" i="13"/>
  <c r="AJ21" i="28" s="1"/>
  <c r="AW180" i="13"/>
  <c r="AU25" i="28" s="1"/>
  <c r="AQ184" i="13"/>
  <c r="AO29" i="28" s="1"/>
  <c r="AS188" i="13"/>
  <c r="AQ33" i="28" s="1"/>
  <c r="BI190" i="13"/>
  <c r="AX193" i="13"/>
  <c r="AS196" i="13"/>
  <c r="AV198" i="13"/>
  <c r="AY201" i="13"/>
  <c r="BF203" i="13"/>
  <c r="AI206" i="13"/>
  <c r="AS207" i="13"/>
  <c r="AK209" i="13"/>
  <c r="BB210" i="13"/>
  <c r="AK212" i="13"/>
  <c r="BB213" i="13"/>
  <c r="BO214" i="13"/>
  <c r="AT216" i="13"/>
  <c r="BC217" i="13"/>
  <c r="BI218" i="13"/>
  <c r="BJ219" i="13"/>
  <c r="BG220" i="13"/>
  <c r="BI221" i="13"/>
  <c r="BI222" i="13"/>
  <c r="BD223" i="13"/>
  <c r="AY224" i="13"/>
  <c r="AT225" i="13"/>
  <c r="AR226" i="13"/>
  <c r="AI227" i="13"/>
  <c r="BO227" i="13"/>
  <c r="BF228" i="13"/>
  <c r="AW229" i="13"/>
  <c r="AH230" i="13"/>
  <c r="BE230" i="13"/>
  <c r="AQ231" i="13"/>
  <c r="BI231" i="13"/>
  <c r="AV232" i="13"/>
  <c r="AH233" i="13"/>
  <c r="BD233" i="13"/>
  <c r="AM234" i="13"/>
  <c r="BI234" i="13"/>
  <c r="AU235" i="13"/>
  <c r="BM235" i="13"/>
  <c r="AZ236" i="13"/>
  <c r="AL237" i="13"/>
  <c r="BH237" i="13"/>
  <c r="AQ238" i="13"/>
  <c r="BM238" i="13"/>
  <c r="AY239" i="13"/>
  <c r="AG240" i="13"/>
  <c r="BA240" i="13"/>
  <c r="AH241" i="13"/>
  <c r="BB241" i="13"/>
  <c r="AI242" i="13"/>
  <c r="BC242" i="13"/>
  <c r="AJ243" i="13"/>
  <c r="BB243" i="13"/>
  <c r="AH244" i="13"/>
  <c r="AW244" i="13"/>
  <c r="BO244" i="13"/>
  <c r="AU245" i="13"/>
  <c r="BJ245" i="13"/>
  <c r="AS246" i="13"/>
  <c r="BH246" i="13"/>
  <c r="AN247" i="13"/>
  <c r="BF247" i="13"/>
  <c r="AL248" i="13"/>
  <c r="BA248" i="13"/>
  <c r="AJ249" i="13"/>
  <c r="AY249" i="13"/>
  <c r="BN249" i="13"/>
  <c r="AW250" i="13"/>
  <c r="BL250" i="13"/>
  <c r="AR251" i="13"/>
  <c r="BJ251" i="13"/>
  <c r="AP252" i="13"/>
  <c r="BE252" i="13"/>
  <c r="AN253" i="13"/>
  <c r="BC253" i="13"/>
  <c r="AI254" i="13"/>
  <c r="BA254" i="13"/>
  <c r="AG255" i="13"/>
  <c r="AV255" i="13"/>
  <c r="BN255" i="13"/>
  <c r="AT256" i="13"/>
  <c r="BI256" i="13"/>
  <c r="AR257" i="13"/>
  <c r="BG257" i="13"/>
  <c r="AM258" i="13"/>
  <c r="BE258" i="13"/>
  <c r="AK259" i="13"/>
  <c r="AZ259" i="13"/>
  <c r="AI260" i="13"/>
  <c r="AX260" i="13"/>
  <c r="BM260" i="13"/>
  <c r="AV261" i="13"/>
  <c r="BK261" i="13"/>
  <c r="AQ262" i="13"/>
  <c r="BI262" i="13"/>
  <c r="AO263" i="13"/>
  <c r="BD263" i="13"/>
  <c r="AM264" i="13"/>
  <c r="BB264" i="13"/>
  <c r="BO264" i="13"/>
  <c r="AS265" i="13"/>
  <c r="BF265" i="13"/>
  <c r="AJ266" i="13"/>
  <c r="AW266" i="13"/>
  <c r="BJ266" i="13"/>
  <c r="AN267" i="13"/>
  <c r="AZ267" i="13"/>
  <c r="BL267" i="13"/>
  <c r="AO268" i="13"/>
  <c r="BA268" i="13"/>
  <c r="BM268" i="13"/>
  <c r="AP269" i="13"/>
  <c r="BB269" i="13"/>
  <c r="BN269" i="13"/>
  <c r="AR170" i="13"/>
  <c r="AP15" i="28" s="1"/>
  <c r="BD170" i="13"/>
  <c r="BB15" i="28" s="1"/>
  <c r="AG170" i="13"/>
  <c r="AE15" i="28" s="1"/>
  <c r="Z172" i="13"/>
  <c r="AB17" i="28" s="1"/>
  <c r="Z175" i="13"/>
  <c r="AB20" i="28" s="1"/>
  <c r="Z178" i="13"/>
  <c r="AB23" i="28" s="1"/>
  <c r="Z181" i="13"/>
  <c r="AB26" i="28" s="1"/>
  <c r="Z184" i="13"/>
  <c r="AB29" i="28" s="1"/>
  <c r="Z187" i="13"/>
  <c r="AB32" i="28" s="1"/>
  <c r="Z190" i="13"/>
  <c r="Z193" i="13"/>
  <c r="Z196" i="13"/>
  <c r="Z199" i="13"/>
  <c r="Z202" i="13"/>
  <c r="Z205" i="13"/>
  <c r="Z208" i="13"/>
  <c r="Z211" i="13"/>
  <c r="Z214" i="13"/>
  <c r="Z217" i="13"/>
  <c r="Z220" i="13"/>
  <c r="Z223" i="13"/>
  <c r="Z226" i="13"/>
  <c r="Z229" i="13"/>
  <c r="Z232" i="13"/>
  <c r="Z235" i="13"/>
  <c r="Z238" i="13"/>
  <c r="Z241" i="13"/>
  <c r="Z244" i="13"/>
  <c r="Z247" i="13"/>
  <c r="Z250" i="13"/>
  <c r="Z253" i="13"/>
  <c r="Z256" i="13"/>
  <c r="Z259" i="13"/>
  <c r="Z262" i="13"/>
  <c r="Z265" i="13"/>
  <c r="Z268" i="13"/>
  <c r="U171" i="13"/>
  <c r="U177" i="13"/>
  <c r="U183" i="13"/>
  <c r="U189" i="13"/>
  <c r="U195" i="13"/>
  <c r="U201" i="13"/>
  <c r="U207" i="13"/>
  <c r="U213" i="13"/>
  <c r="U219" i="13"/>
  <c r="U225" i="13"/>
  <c r="U231" i="13"/>
  <c r="U237" i="13"/>
  <c r="U243" i="13"/>
  <c r="U249" i="13"/>
  <c r="U255" i="13"/>
  <c r="BE172" i="13"/>
  <c r="BC17" i="28" s="1"/>
  <c r="AN177" i="13"/>
  <c r="AL22" i="28" s="1"/>
  <c r="AX180" i="13"/>
  <c r="AV25" i="28" s="1"/>
  <c r="AT184" i="13"/>
  <c r="AR29" i="28" s="1"/>
  <c r="AT188" i="13"/>
  <c r="AR33" i="28" s="1"/>
  <c r="BJ190" i="13"/>
  <c r="BJ193" i="13"/>
  <c r="AY196" i="13"/>
  <c r="AV199" i="13"/>
  <c r="AZ201" i="13"/>
  <c r="BH203" i="13"/>
  <c r="AJ206" i="13"/>
  <c r="AT207" i="13"/>
  <c r="AT209" i="13"/>
  <c r="BK210" i="13"/>
  <c r="AX212" i="13"/>
  <c r="BC213" i="13"/>
  <c r="AH215" i="13"/>
  <c r="AU216" i="13"/>
  <c r="BE217" i="13"/>
  <c r="BJ218" i="13"/>
  <c r="BK219" i="13"/>
  <c r="BM220" i="13"/>
  <c r="BJ221" i="13"/>
  <c r="BK222" i="13"/>
  <c r="BE223" i="13"/>
  <c r="AZ224" i="13"/>
  <c r="AU225" i="13"/>
  <c r="AS226" i="13"/>
  <c r="AR227" i="13"/>
  <c r="AG228" i="13"/>
  <c r="BH228" i="13"/>
  <c r="AX229" i="13"/>
  <c r="AI230" i="13"/>
  <c r="BF230" i="13"/>
  <c r="AR231" i="13"/>
  <c r="BN231" i="13"/>
  <c r="AW232" i="13"/>
  <c r="AJ233" i="13"/>
  <c r="BE233" i="13"/>
  <c r="AN234" i="13"/>
  <c r="BJ234" i="13"/>
  <c r="AV235" i="13"/>
  <c r="AI236" i="13"/>
  <c r="BA236" i="13"/>
  <c r="AN237" i="13"/>
  <c r="BI237" i="13"/>
  <c r="AR238" i="13"/>
  <c r="BN238" i="13"/>
  <c r="AZ239" i="13"/>
  <c r="AH240" i="13"/>
  <c r="BB240" i="13"/>
  <c r="AI241" i="13"/>
  <c r="BC241" i="13"/>
  <c r="AJ242" i="13"/>
  <c r="BD242" i="13"/>
  <c r="AK243" i="13"/>
  <c r="BC243" i="13"/>
  <c r="AI244" i="13"/>
  <c r="AX244" i="13"/>
  <c r="AG245" i="13"/>
  <c r="AV245" i="13"/>
  <c r="BK245" i="13"/>
  <c r="AT246" i="13"/>
  <c r="BI246" i="13"/>
  <c r="AO247" i="13"/>
  <c r="BG247" i="13"/>
  <c r="AM248" i="13"/>
  <c r="BB248" i="13"/>
  <c r="AK249" i="13"/>
  <c r="AZ249" i="13"/>
  <c r="BO249" i="13"/>
  <c r="AX250" i="13"/>
  <c r="BM250" i="13"/>
  <c r="AS251" i="13"/>
  <c r="BK251" i="13"/>
  <c r="AQ252" i="13"/>
  <c r="BF252" i="13"/>
  <c r="AO253" i="13"/>
  <c r="BD253" i="13"/>
  <c r="AJ254" i="13"/>
  <c r="BB254" i="13"/>
  <c r="AH255" i="13"/>
  <c r="AW255" i="13"/>
  <c r="BO255" i="13"/>
  <c r="AU256" i="13"/>
  <c r="BJ256" i="13"/>
  <c r="AS257" i="13"/>
  <c r="BH257" i="13"/>
  <c r="AN258" i="13"/>
  <c r="BF258" i="13"/>
  <c r="AL259" i="13"/>
  <c r="BA259" i="13"/>
  <c r="AJ260" i="13"/>
  <c r="AY260" i="13"/>
  <c r="BN260" i="13"/>
  <c r="AW261" i="13"/>
  <c r="BL261" i="13"/>
  <c r="AR262" i="13"/>
  <c r="BJ262" i="13"/>
  <c r="AP263" i="13"/>
  <c r="BE263" i="13"/>
  <c r="AN264" i="13"/>
  <c r="BC264" i="13"/>
  <c r="AG265" i="13"/>
  <c r="AT265" i="13"/>
  <c r="BG265" i="13"/>
  <c r="AK266" i="13"/>
  <c r="AX266" i="13"/>
  <c r="BK266" i="13"/>
  <c r="AO267" i="13"/>
  <c r="BA267" i="13"/>
  <c r="BM267" i="13"/>
  <c r="AP268" i="13"/>
  <c r="BB268" i="13"/>
  <c r="BN268" i="13"/>
  <c r="AQ269" i="13"/>
  <c r="BC269" i="13"/>
  <c r="BO269" i="13"/>
  <c r="AS170" i="13"/>
  <c r="AQ15" i="28" s="1"/>
  <c r="BE170" i="13"/>
  <c r="BC15" i="28" s="1"/>
  <c r="AA172" i="13"/>
  <c r="AC17" i="28" s="1"/>
  <c r="AA175" i="13"/>
  <c r="AC20" i="28" s="1"/>
  <c r="AA178" i="13"/>
  <c r="AC23" i="28" s="1"/>
  <c r="AA181" i="13"/>
  <c r="AC26" i="28" s="1"/>
  <c r="AA184" i="13"/>
  <c r="AC29" i="28" s="1"/>
  <c r="AA187" i="13"/>
  <c r="AC32" i="28" s="1"/>
  <c r="AA190" i="13"/>
  <c r="AA193" i="13"/>
  <c r="AA196" i="13"/>
  <c r="AA199" i="13"/>
  <c r="AA202" i="13"/>
  <c r="AA205" i="13"/>
  <c r="AA208" i="13"/>
  <c r="AA211" i="13"/>
  <c r="AA214" i="13"/>
  <c r="AA217" i="13"/>
  <c r="AA220" i="13"/>
  <c r="AA223" i="13"/>
  <c r="AA226" i="13"/>
  <c r="AA229" i="13"/>
  <c r="AA232" i="13"/>
  <c r="AA235" i="13"/>
  <c r="AA238" i="13"/>
  <c r="AA241" i="13"/>
  <c r="AU173" i="13"/>
  <c r="AS18" i="28" s="1"/>
  <c r="AO177" i="13"/>
  <c r="AM22" i="28" s="1"/>
  <c r="AY180" i="13"/>
  <c r="AW25" i="28" s="1"/>
  <c r="AU184" i="13"/>
  <c r="AS29" i="28" s="1"/>
  <c r="AU188" i="13"/>
  <c r="AS33" i="28" s="1"/>
  <c r="BA191" i="13"/>
  <c r="BK193" i="13"/>
  <c r="BB196" i="13"/>
  <c r="AW199" i="13"/>
  <c r="BA201" i="13"/>
  <c r="AI204" i="13"/>
  <c r="AL206" i="13"/>
  <c r="BM207" i="13"/>
  <c r="AU209" i="13"/>
  <c r="BM210" i="13"/>
  <c r="AY212" i="13"/>
  <c r="BD213" i="13"/>
  <c r="AP215" i="13"/>
  <c r="BC216" i="13"/>
  <c r="AH218" i="13"/>
  <c r="BK218" i="13"/>
  <c r="BM219" i="13"/>
  <c r="BN220" i="13"/>
  <c r="BL221" i="13"/>
  <c r="BL222" i="13"/>
  <c r="BJ223" i="13"/>
  <c r="BE224" i="13"/>
  <c r="AZ225" i="13"/>
  <c r="AU226" i="13"/>
  <c r="AS227" i="13"/>
  <c r="AH228" i="13"/>
  <c r="BI228" i="13"/>
  <c r="AY229" i="13"/>
  <c r="AN230" i="13"/>
  <c r="BG230" i="13"/>
  <c r="AT231" i="13"/>
  <c r="BO231" i="13"/>
  <c r="AX232" i="13"/>
  <c r="AK233" i="13"/>
  <c r="BF233" i="13"/>
  <c r="AS234" i="13"/>
  <c r="BK234" i="13"/>
  <c r="AX235" i="13"/>
  <c r="AJ236" i="13"/>
  <c r="BB236" i="13"/>
  <c r="AO237" i="13"/>
  <c r="BJ237" i="13"/>
  <c r="AW238" i="13"/>
  <c r="BO238" i="13"/>
  <c r="BB239" i="13"/>
  <c r="AM240" i="13"/>
  <c r="BC240" i="13"/>
  <c r="AN241" i="13"/>
  <c r="BD241" i="13"/>
  <c r="AO242" i="13"/>
  <c r="BE242" i="13"/>
  <c r="AN243" i="13"/>
  <c r="BD243" i="13"/>
  <c r="AJ244" i="13"/>
  <c r="BA244" i="13"/>
  <c r="AH245" i="13"/>
  <c r="AW245" i="13"/>
  <c r="BN245" i="13"/>
  <c r="AU246" i="13"/>
  <c r="BJ246" i="13"/>
  <c r="AR247" i="13"/>
  <c r="BH247" i="13"/>
  <c r="AN248" i="13"/>
  <c r="BE248" i="13"/>
  <c r="AL249" i="13"/>
  <c r="BA249" i="13"/>
  <c r="AI250" i="13"/>
  <c r="AY250" i="13"/>
  <c r="BN250" i="13"/>
  <c r="AV251" i="13"/>
  <c r="BL251" i="13"/>
  <c r="AR252" i="13"/>
  <c r="BI252" i="13"/>
  <c r="AP253" i="13"/>
  <c r="BE253" i="13"/>
  <c r="AM254" i="13"/>
  <c r="BC254" i="13"/>
  <c r="AI255" i="13"/>
  <c r="AZ255" i="13"/>
  <c r="AG256" i="13"/>
  <c r="AV256" i="13"/>
  <c r="BM256" i="13"/>
  <c r="AT257" i="13"/>
  <c r="BI257" i="13"/>
  <c r="AQ258" i="13"/>
  <c r="BG258" i="13"/>
  <c r="AM259" i="13"/>
  <c r="BD259" i="13"/>
  <c r="AK260" i="13"/>
  <c r="AZ260" i="13"/>
  <c r="AH261" i="13"/>
  <c r="AX261" i="13"/>
  <c r="BM261" i="13"/>
  <c r="AU262" i="13"/>
  <c r="BK262" i="13"/>
  <c r="AQ263" i="13"/>
  <c r="BH263" i="13"/>
  <c r="AO264" i="13"/>
  <c r="BD264" i="13"/>
  <c r="AH265" i="13"/>
  <c r="AU265" i="13"/>
  <c r="BH265" i="13"/>
  <c r="AL266" i="13"/>
  <c r="AY266" i="13"/>
  <c r="BM266" i="13"/>
  <c r="AP267" i="13"/>
  <c r="BB267" i="13"/>
  <c r="BN267" i="13"/>
  <c r="AQ268" i="13"/>
  <c r="BC268" i="13"/>
  <c r="BO268" i="13"/>
  <c r="AR269" i="13"/>
  <c r="BD269" i="13"/>
  <c r="AH170" i="13"/>
  <c r="AF15" i="28" s="1"/>
  <c r="AT170" i="13"/>
  <c r="AR15" i="28" s="1"/>
  <c r="BF170" i="13"/>
  <c r="BD15" i="28" s="1"/>
  <c r="AB172" i="13"/>
  <c r="AD17" i="28" s="1"/>
  <c r="AB175" i="13"/>
  <c r="AD20" i="28" s="1"/>
  <c r="AB178" i="13"/>
  <c r="AD23" i="28" s="1"/>
  <c r="AB181" i="13"/>
  <c r="AD26" i="28" s="1"/>
  <c r="AB184" i="13"/>
  <c r="AD29" i="28" s="1"/>
  <c r="AB187" i="13"/>
  <c r="AD32" i="28" s="1"/>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AB265" i="13"/>
  <c r="AB268" i="13"/>
  <c r="U172" i="13"/>
  <c r="U178" i="13"/>
  <c r="U184" i="13"/>
  <c r="U190" i="13"/>
  <c r="U196" i="13"/>
  <c r="U202" i="13"/>
  <c r="U208" i="13"/>
  <c r="U214" i="13"/>
  <c r="U220" i="13"/>
  <c r="U226" i="13"/>
  <c r="U232" i="13"/>
  <c r="U238" i="13"/>
  <c r="U244" i="13"/>
  <c r="U250" i="13"/>
  <c r="U256" i="13"/>
  <c r="U262" i="13"/>
  <c r="BD174" i="13"/>
  <c r="BB19" i="28" s="1"/>
  <c r="BM177" i="13"/>
  <c r="BK22" i="28" s="1"/>
  <c r="AZ182" i="13"/>
  <c r="AX27" i="28" s="1"/>
  <c r="BD186" i="13"/>
  <c r="BB31" i="28" s="1"/>
  <c r="AL189" i="13"/>
  <c r="AJ34" i="28" s="1"/>
  <c r="AI192" i="13"/>
  <c r="BE194" i="13"/>
  <c r="BC197" i="13"/>
  <c r="AL200" i="13"/>
  <c r="BA202" i="13"/>
  <c r="BH204" i="13"/>
  <c r="AZ206" i="13"/>
  <c r="AR208" i="13"/>
  <c r="BL209" i="13"/>
  <c r="AZ211" i="13"/>
  <c r="BM212" i="13"/>
  <c r="AS214" i="13"/>
  <c r="BF215" i="13"/>
  <c r="BK216" i="13"/>
  <c r="AN218" i="13"/>
  <c r="AO219" i="13"/>
  <c r="AU220" i="13"/>
  <c r="AO221" i="13"/>
  <c r="AQ222" i="13"/>
  <c r="AO223" i="13"/>
  <c r="BO223" i="13"/>
  <c r="BN224" i="13"/>
  <c r="BL225" i="13"/>
  <c r="BG226" i="13"/>
  <c r="AY227" i="13"/>
  <c r="AT228" i="13"/>
  <c r="AJ229" i="13"/>
  <c r="BE229" i="13"/>
  <c r="AT230" i="13"/>
  <c r="BO230" i="13"/>
  <c r="BB231" i="13"/>
  <c r="AK232" i="13"/>
  <c r="BG232" i="13"/>
  <c r="AS233" i="13"/>
  <c r="BK233" i="13"/>
  <c r="AX234" i="13"/>
  <c r="AJ235" i="13"/>
  <c r="BF235" i="13"/>
  <c r="AO236" i="13"/>
  <c r="BK236" i="13"/>
  <c r="AW237" i="13"/>
  <c r="BO237" i="13"/>
  <c r="BB238" i="13"/>
  <c r="AN239" i="13"/>
  <c r="BJ239" i="13"/>
  <c r="AQ240" i="13"/>
  <c r="BK240" i="13"/>
  <c r="AR241" i="13"/>
  <c r="BL241" i="13"/>
  <c r="AS242" i="13"/>
  <c r="BM242" i="13"/>
  <c r="AS243" i="13"/>
  <c r="BH243" i="13"/>
  <c r="AQ244" i="13"/>
  <c r="BF244" i="13"/>
  <c r="AL245" i="13"/>
  <c r="BD245" i="13"/>
  <c r="AJ246" i="13"/>
  <c r="AY246" i="13"/>
  <c r="AH247" i="13"/>
  <c r="AW247" i="13"/>
  <c r="BL247" i="13"/>
  <c r="AU248" i="13"/>
  <c r="BJ248" i="13"/>
  <c r="AP249" i="13"/>
  <c r="BH249" i="13"/>
  <c r="AN250" i="13"/>
  <c r="BC250" i="13"/>
  <c r="AL251" i="13"/>
  <c r="BA251" i="13"/>
  <c r="AG252" i="13"/>
  <c r="AY252" i="13"/>
  <c r="BN252" i="13"/>
  <c r="AT253" i="13"/>
  <c r="BL253" i="13"/>
  <c r="AR254" i="13"/>
  <c r="BG254" i="13"/>
  <c r="AP255" i="13"/>
  <c r="BE255" i="13"/>
  <c r="AK256" i="13"/>
  <c r="BC256" i="13"/>
  <c r="AI257" i="13"/>
  <c r="AX257" i="13"/>
  <c r="AG258" i="13"/>
  <c r="AV258" i="13"/>
  <c r="BK258" i="13"/>
  <c r="AT259" i="13"/>
  <c r="BI259" i="13"/>
  <c r="AO260" i="13"/>
  <c r="BG260" i="13"/>
  <c r="AM261" i="13"/>
  <c r="BB261" i="13"/>
  <c r="AK262" i="13"/>
  <c r="AZ262" i="13"/>
  <c r="BO262" i="13"/>
  <c r="AX263" i="13"/>
  <c r="BM263" i="13"/>
  <c r="AS264" i="13"/>
  <c r="BH264" i="13"/>
  <c r="AL265" i="13"/>
  <c r="AZ265" i="13"/>
  <c r="BM265" i="13"/>
  <c r="AQ266" i="13"/>
  <c r="BD266" i="13"/>
  <c r="AH267" i="13"/>
  <c r="AT267" i="13"/>
  <c r="BF267" i="13"/>
  <c r="AI268" i="13"/>
  <c r="AU268" i="13"/>
  <c r="BG268" i="13"/>
  <c r="AJ269" i="13"/>
  <c r="AV269" i="13"/>
  <c r="BH269" i="13"/>
  <c r="AL170" i="13"/>
  <c r="AJ15" i="28" s="1"/>
  <c r="AX170" i="13"/>
  <c r="AV15" i="28" s="1"/>
  <c r="BJ170" i="13"/>
  <c r="BH15" i="28" s="1"/>
  <c r="AB173" i="13"/>
  <c r="AD18" i="28" s="1"/>
  <c r="AB176" i="13"/>
  <c r="AD21" i="28" s="1"/>
  <c r="AB179" i="13"/>
  <c r="AD24" i="28" s="1"/>
  <c r="AB182" i="13"/>
  <c r="AD27" i="28" s="1"/>
  <c r="AB185" i="13"/>
  <c r="AD30" i="28" s="1"/>
  <c r="AB188" i="13"/>
  <c r="AD33" i="28" s="1"/>
  <c r="AB191" i="13"/>
  <c r="AB194" i="13"/>
  <c r="AB197" i="13"/>
  <c r="AB200" i="13"/>
  <c r="AB203" i="13"/>
  <c r="AB206" i="13"/>
  <c r="AB209" i="13"/>
  <c r="AB212" i="13"/>
  <c r="AB215" i="13"/>
  <c r="AB218" i="13"/>
  <c r="AB221" i="13"/>
  <c r="AB224" i="13"/>
  <c r="AB227" i="13"/>
  <c r="AB230" i="13"/>
  <c r="AB233" i="13"/>
  <c r="AB236" i="13"/>
  <c r="AB239" i="13"/>
  <c r="AB242" i="13"/>
  <c r="AB245" i="13"/>
  <c r="AB248" i="13"/>
  <c r="AB251" i="13"/>
  <c r="AB254" i="13"/>
  <c r="AB257" i="13"/>
  <c r="AB260" i="13"/>
  <c r="AB263" i="13"/>
  <c r="AB266" i="13"/>
  <c r="AB269" i="13"/>
  <c r="U174" i="13"/>
  <c r="U180" i="13"/>
  <c r="U186" i="13"/>
  <c r="U192" i="13"/>
  <c r="U198" i="13"/>
  <c r="U204" i="13"/>
  <c r="U210" i="13"/>
  <c r="U216" i="13"/>
  <c r="U222" i="13"/>
  <c r="U228" i="13"/>
  <c r="U234" i="13"/>
  <c r="U240" i="13"/>
  <c r="U246" i="13"/>
  <c r="U252" i="13"/>
  <c r="AV173" i="13"/>
  <c r="AT18" i="28" s="1"/>
  <c r="AL179" i="13"/>
  <c r="AJ24" i="28" s="1"/>
  <c r="BE186" i="13"/>
  <c r="BC31" i="28" s="1"/>
  <c r="BC191" i="13"/>
  <c r="BE195" i="13"/>
  <c r="BE200" i="13"/>
  <c r="BG204" i="13"/>
  <c r="BN207" i="13"/>
  <c r="AL210" i="13"/>
  <c r="BN212" i="13"/>
  <c r="AR215" i="13"/>
  <c r="AZ217" i="13"/>
  <c r="AV219" i="13"/>
  <c r="AN221" i="13"/>
  <c r="BM222" i="13"/>
  <c r="AQ224" i="13"/>
  <c r="BN225" i="13"/>
  <c r="AV227" i="13"/>
  <c r="BD228" i="13"/>
  <c r="BK229" i="13"/>
  <c r="BN230" i="13"/>
  <c r="AG232" i="13"/>
  <c r="BJ232" i="13"/>
  <c r="AG234" i="13"/>
  <c r="AH235" i="13"/>
  <c r="BK235" i="13"/>
  <c r="BM236" i="13"/>
  <c r="BN237" i="13"/>
  <c r="AG239" i="13"/>
  <c r="BM239" i="13"/>
  <c r="BL240" i="13"/>
  <c r="BF241" i="13"/>
  <c r="BA242" i="13"/>
  <c r="AU243" i="13"/>
  <c r="AO244" i="13"/>
  <c r="AI245" i="13"/>
  <c r="BG245" i="13"/>
  <c r="AZ246" i="13"/>
  <c r="AU247" i="13"/>
  <c r="AJ248" i="13"/>
  <c r="BL248" i="13"/>
  <c r="BF249" i="13"/>
  <c r="AZ250" i="13"/>
  <c r="AO251" i="13"/>
  <c r="AH252" i="13"/>
  <c r="BL252" i="13"/>
  <c r="BA253" i="13"/>
  <c r="AT254" i="13"/>
  <c r="AN255" i="13"/>
  <c r="AH256" i="13"/>
  <c r="BF256" i="13"/>
  <c r="AY257" i="13"/>
  <c r="AT258" i="13"/>
  <c r="AI259" i="13"/>
  <c r="BK259" i="13"/>
  <c r="BE260" i="13"/>
  <c r="AY261" i="13"/>
  <c r="AN262" i="13"/>
  <c r="AG263" i="13"/>
  <c r="BK263" i="13"/>
  <c r="AZ264" i="13"/>
  <c r="AO265" i="13"/>
  <c r="BL265" i="13"/>
  <c r="BA266" i="13"/>
  <c r="AK267" i="13"/>
  <c r="BG267" i="13"/>
  <c r="AS268" i="13"/>
  <c r="BK268" i="13"/>
  <c r="AX269" i="13"/>
  <c r="AK170" i="13"/>
  <c r="AI15" i="28" s="1"/>
  <c r="BG170" i="13"/>
  <c r="BE15" i="28" s="1"/>
  <c r="AA16" i="28"/>
  <c r="Z176" i="13"/>
  <c r="AB21" i="28" s="1"/>
  <c r="AB180" i="13"/>
  <c r="AD25" i="28" s="1"/>
  <c r="Z186" i="13"/>
  <c r="AB31" i="28" s="1"/>
  <c r="AA191" i="13"/>
  <c r="Y197" i="13"/>
  <c r="AA201" i="13"/>
  <c r="Y207" i="13"/>
  <c r="Z212" i="13"/>
  <c r="AB216" i="13"/>
  <c r="Z222" i="13"/>
  <c r="AA227" i="13"/>
  <c r="Y233" i="13"/>
  <c r="AA237" i="13"/>
  <c r="Y243" i="13"/>
  <c r="AA247" i="13"/>
  <c r="Y252" i="13"/>
  <c r="AA256" i="13"/>
  <c r="Y261" i="13"/>
  <c r="AA265" i="13"/>
  <c r="Z170" i="13"/>
  <c r="AB15" i="28" s="1"/>
  <c r="T178" i="13"/>
  <c r="T187" i="13"/>
  <c r="T196" i="13"/>
  <c r="T205" i="13"/>
  <c r="T214" i="13"/>
  <c r="T223" i="13"/>
  <c r="T232" i="13"/>
  <c r="T241" i="13"/>
  <c r="T250" i="13"/>
  <c r="U258" i="13"/>
  <c r="T265" i="13"/>
  <c r="S171" i="13"/>
  <c r="S183" i="13"/>
  <c r="S195" i="13"/>
  <c r="S207" i="13"/>
  <c r="S219" i="13"/>
  <c r="S231" i="13"/>
  <c r="S243" i="13"/>
  <c r="S255" i="13"/>
  <c r="S267" i="13"/>
  <c r="R179" i="13"/>
  <c r="R191" i="13"/>
  <c r="R203" i="13"/>
  <c r="R215" i="13"/>
  <c r="R227" i="13"/>
  <c r="R239" i="13"/>
  <c r="R251" i="13"/>
  <c r="R263" i="13"/>
  <c r="Q175" i="13"/>
  <c r="Q187" i="13"/>
  <c r="Q199" i="13"/>
  <c r="Q211" i="13"/>
  <c r="Q223" i="13"/>
  <c r="Q235" i="13"/>
  <c r="Q247" i="13"/>
  <c r="Q259" i="13"/>
  <c r="P171" i="13"/>
  <c r="P183" i="13"/>
  <c r="P195" i="13"/>
  <c r="P207" i="13"/>
  <c r="P219" i="13"/>
  <c r="P231" i="13"/>
  <c r="P243" i="13"/>
  <c r="P255" i="13"/>
  <c r="P267" i="13"/>
  <c r="O179" i="13"/>
  <c r="O191" i="13"/>
  <c r="O203" i="13"/>
  <c r="O215" i="13"/>
  <c r="O227" i="13"/>
  <c r="O239" i="13"/>
  <c r="O251" i="13"/>
  <c r="O263" i="13"/>
  <c r="N175" i="13"/>
  <c r="N187" i="13"/>
  <c r="N199" i="13"/>
  <c r="N211" i="13"/>
  <c r="N223" i="13"/>
  <c r="N235" i="13"/>
  <c r="N247" i="13"/>
  <c r="N259" i="13"/>
  <c r="M183" i="13"/>
  <c r="R28" i="28" s="1"/>
  <c r="M195" i="13"/>
  <c r="M207" i="13"/>
  <c r="M219" i="13"/>
  <c r="M231" i="13"/>
  <c r="M243" i="13"/>
  <c r="M255" i="13"/>
  <c r="M267" i="13"/>
  <c r="L179" i="13"/>
  <c r="Q24" i="28" s="1"/>
  <c r="L191" i="13"/>
  <c r="L203" i="13"/>
  <c r="L215" i="13"/>
  <c r="L227" i="13"/>
  <c r="L239" i="13"/>
  <c r="L251" i="13"/>
  <c r="L263" i="13"/>
  <c r="BF173" i="13"/>
  <c r="BD18" i="28" s="1"/>
  <c r="BJ179" i="13"/>
  <c r="BH24" i="28" s="1"/>
  <c r="BJ186" i="13"/>
  <c r="BH31" i="28" s="1"/>
  <c r="AH192" i="13"/>
  <c r="BC196" i="13"/>
  <c r="BO200" i="13"/>
  <c r="BI204" i="13"/>
  <c r="BO207" i="13"/>
  <c r="AU210" i="13"/>
  <c r="AO213" i="13"/>
  <c r="BE215" i="13"/>
  <c r="AI218" i="13"/>
  <c r="AX219" i="13"/>
  <c r="AP221" i="13"/>
  <c r="BN222" i="13"/>
  <c r="AS224" i="13"/>
  <c r="BO225" i="13"/>
  <c r="AW227" i="13"/>
  <c r="BJ228" i="13"/>
  <c r="BL229" i="13"/>
  <c r="AH231" i="13"/>
  <c r="AI232" i="13"/>
  <c r="BO232" i="13"/>
  <c r="AH234" i="13"/>
  <c r="AI235" i="13"/>
  <c r="AK236" i="13"/>
  <c r="BN236" i="13"/>
  <c r="AK238" i="13"/>
  <c r="AL239" i="13"/>
  <c r="BN239" i="13"/>
  <c r="BM240" i="13"/>
  <c r="BG241" i="13"/>
  <c r="BF242" i="13"/>
  <c r="AV243" i="13"/>
  <c r="AR244" i="13"/>
  <c r="AJ245" i="13"/>
  <c r="BH245" i="13"/>
  <c r="BC246" i="13"/>
  <c r="AV247" i="13"/>
  <c r="AO248" i="13"/>
  <c r="BM248" i="13"/>
  <c r="BI249" i="13"/>
  <c r="BA250" i="13"/>
  <c r="AP251" i="13"/>
  <c r="AK252" i="13"/>
  <c r="BM252" i="13"/>
  <c r="BF253" i="13"/>
  <c r="AU254" i="13"/>
  <c r="AQ255" i="13"/>
  <c r="AI256" i="13"/>
  <c r="BG256" i="13"/>
  <c r="BB257" i="13"/>
  <c r="AU258" i="13"/>
  <c r="AN259" i="13"/>
  <c r="BL259" i="13"/>
  <c r="BH260" i="13"/>
  <c r="AZ261" i="13"/>
  <c r="AO262" i="13"/>
  <c r="AJ263" i="13"/>
  <c r="BL263" i="13"/>
  <c r="BE264" i="13"/>
  <c r="AP265" i="13"/>
  <c r="BN265" i="13"/>
  <c r="BB266" i="13"/>
  <c r="AL267" i="13"/>
  <c r="BH267" i="13"/>
  <c r="AT268" i="13"/>
  <c r="AG269" i="13"/>
  <c r="AY269" i="13"/>
  <c r="AM170" i="13"/>
  <c r="AK15" i="28" s="1"/>
  <c r="BH170" i="13"/>
  <c r="BF15" i="28" s="1"/>
  <c r="AB16" i="28"/>
  <c r="AA176" i="13"/>
  <c r="AC21" i="28" s="1"/>
  <c r="Y182" i="13"/>
  <c r="AA27" i="28" s="1"/>
  <c r="AA186" i="13"/>
  <c r="AC31" i="28" s="1"/>
  <c r="Y192" i="13"/>
  <c r="Z197" i="13"/>
  <c r="AB201" i="13"/>
  <c r="Z207" i="13"/>
  <c r="AA212" i="13"/>
  <c r="Y218" i="13"/>
  <c r="AA222" i="13"/>
  <c r="Y228" i="13"/>
  <c r="Z233" i="13"/>
  <c r="AB237" i="13"/>
  <c r="BG173" i="13"/>
  <c r="BE18" i="28" s="1"/>
  <c r="BB181" i="13"/>
  <c r="AZ26" i="28" s="1"/>
  <c r="BO186" i="13"/>
  <c r="BM31" i="28" s="1"/>
  <c r="AK192" i="13"/>
  <c r="AJ197" i="13"/>
  <c r="AG201" i="13"/>
  <c r="AQ205" i="13"/>
  <c r="AQ208" i="13"/>
  <c r="AJ211" i="13"/>
  <c r="AV213" i="13"/>
  <c r="BG215" i="13"/>
  <c r="AK218" i="13"/>
  <c r="AY219" i="13"/>
  <c r="AZ221" i="13"/>
  <c r="AN223" i="13"/>
  <c r="BF224" i="13"/>
  <c r="AG226" i="13"/>
  <c r="BB227" i="13"/>
  <c r="BL228" i="13"/>
  <c r="BN229" i="13"/>
  <c r="AI231" i="13"/>
  <c r="AJ232" i="13"/>
  <c r="AL233" i="13"/>
  <c r="AI234" i="13"/>
  <c r="AL235" i="13"/>
  <c r="AM236" i="13"/>
  <c r="AJ237" i="13"/>
  <c r="AL238" i="13"/>
  <c r="AM239" i="13"/>
  <c r="AN240" i="13"/>
  <c r="BN240" i="13"/>
  <c r="BM241" i="13"/>
  <c r="BG242" i="13"/>
  <c r="AW243" i="13"/>
  <c r="AS244" i="13"/>
  <c r="AK245" i="13"/>
  <c r="AG246" i="13"/>
  <c r="BE246" i="13"/>
  <c r="AX247" i="13"/>
  <c r="AP248" i="13"/>
  <c r="BN248" i="13"/>
  <c r="BJ249" i="13"/>
  <c r="BB250" i="13"/>
  <c r="AX251" i="13"/>
  <c r="AM252" i="13"/>
  <c r="BO252" i="13"/>
  <c r="BG253" i="13"/>
  <c r="AV254" i="13"/>
  <c r="AR255" i="13"/>
  <c r="AJ256" i="13"/>
  <c r="BO256" i="13"/>
  <c r="BD257" i="13"/>
  <c r="AW258" i="13"/>
  <c r="AO259" i="13"/>
  <c r="BM259" i="13"/>
  <c r="BI260" i="13"/>
  <c r="BA261" i="13"/>
  <c r="AW262" i="13"/>
  <c r="AL263" i="13"/>
  <c r="BN263" i="13"/>
  <c r="BF264" i="13"/>
  <c r="AQ265" i="13"/>
  <c r="BO265" i="13"/>
  <c r="BC266" i="13"/>
  <c r="AQ267" i="13"/>
  <c r="AK175" i="13"/>
  <c r="AI20" i="28" s="1"/>
  <c r="BC181" i="13"/>
  <c r="BA26" i="28" s="1"/>
  <c r="AG187" i="13"/>
  <c r="AE32" i="28" s="1"/>
  <c r="BA192" i="13"/>
  <c r="AK197" i="13"/>
  <c r="AN202" i="13"/>
  <c r="AR205" i="13"/>
  <c r="AU208" i="13"/>
  <c r="AK211" i="13"/>
  <c r="AX213" i="13"/>
  <c r="BM215" i="13"/>
  <c r="AM218" i="13"/>
  <c r="AI220" i="13"/>
  <c r="BA221" i="13"/>
  <c r="AP223" i="13"/>
  <c r="BK224" i="13"/>
  <c r="AH226" i="13"/>
  <c r="BG227" i="13"/>
  <c r="AI229" i="13"/>
  <c r="AO230" i="13"/>
  <c r="AJ231" i="13"/>
  <c r="AL232" i="13"/>
  <c r="AM233" i="13"/>
  <c r="AK234" i="13"/>
  <c r="AM235" i="13"/>
  <c r="AN236" i="13"/>
  <c r="AP237" i="13"/>
  <c r="AM238" i="13"/>
  <c r="AP239" i="13"/>
  <c r="AO240" i="13"/>
  <c r="BO240" i="13"/>
  <c r="BN241" i="13"/>
  <c r="BH242" i="13"/>
  <c r="BE243" i="13"/>
  <c r="AT244" i="13"/>
  <c r="AM245" i="13"/>
  <c r="AH246" i="13"/>
  <c r="BF246" i="13"/>
  <c r="AY247" i="13"/>
  <c r="AS248" i="13"/>
  <c r="AM249" i="13"/>
  <c r="BK249" i="13"/>
  <c r="BD250" i="13"/>
  <c r="AY251" i="13"/>
  <c r="AN252" i="13"/>
  <c r="AG253" i="13"/>
  <c r="BJ253" i="13"/>
  <c r="BD254" i="13"/>
  <c r="AS255" i="13"/>
  <c r="AL256" i="13"/>
  <c r="AG257" i="13"/>
  <c r="BE257" i="13"/>
  <c r="AX258" i="13"/>
  <c r="AR259" i="13"/>
  <c r="AL260" i="13"/>
  <c r="BJ260" i="13"/>
  <c r="BC261" i="13"/>
  <c r="AX262" i="13"/>
  <c r="AM263" i="13"/>
  <c r="BO263" i="13"/>
  <c r="BG264" i="13"/>
  <c r="AV265" i="13"/>
  <c r="AG266" i="13"/>
  <c r="BE266" i="13"/>
  <c r="AR267" i="13"/>
  <c r="BJ267" i="13"/>
  <c r="AW268" i="13"/>
  <c r="AI269" i="13"/>
  <c r="BE269" i="13"/>
  <c r="AO170" i="13"/>
  <c r="AM15" i="28" s="1"/>
  <c r="BK170" i="13"/>
  <c r="BI15" i="28" s="1"/>
  <c r="AD16" i="28"/>
  <c r="Z177" i="13"/>
  <c r="AB22" i="28" s="1"/>
  <c r="AA182" i="13"/>
  <c r="AC27" i="28" s="1"/>
  <c r="Y188" i="13"/>
  <c r="AA33" i="28" s="1"/>
  <c r="AA192" i="13"/>
  <c r="Y198" i="13"/>
  <c r="Z203" i="13"/>
  <c r="AB207" i="13"/>
  <c r="Z213" i="13"/>
  <c r="AA218" i="13"/>
  <c r="Y224" i="13"/>
  <c r="AA228" i="13"/>
  <c r="Y234" i="13"/>
  <c r="Z239" i="13"/>
  <c r="AB243" i="13"/>
  <c r="AA248" i="13"/>
  <c r="AB252" i="13"/>
  <c r="AA257" i="13"/>
  <c r="AB261" i="13"/>
  <c r="AA266" i="13"/>
  <c r="Y170" i="13"/>
  <c r="AA15" i="28" s="1"/>
  <c r="T180" i="13"/>
  <c r="U188" i="13"/>
  <c r="T198" i="13"/>
  <c r="U206" i="13"/>
  <c r="T216" i="13"/>
  <c r="U224" i="13"/>
  <c r="T234" i="13"/>
  <c r="U242" i="13"/>
  <c r="T252" i="13"/>
  <c r="T260" i="13"/>
  <c r="U266" i="13"/>
  <c r="S174" i="13"/>
  <c r="S186" i="13"/>
  <c r="S198" i="13"/>
  <c r="S210" i="13"/>
  <c r="S222" i="13"/>
  <c r="S234" i="13"/>
  <c r="S246" i="13"/>
  <c r="S258" i="13"/>
  <c r="S170" i="13"/>
  <c r="R182" i="13"/>
  <c r="R194" i="13"/>
  <c r="R206" i="13"/>
  <c r="R218" i="13"/>
  <c r="R230" i="13"/>
  <c r="R242" i="13"/>
  <c r="R254" i="13"/>
  <c r="R266" i="13"/>
  <c r="Q178" i="13"/>
  <c r="Q190" i="13"/>
  <c r="Q202" i="13"/>
  <c r="Q214" i="13"/>
  <c r="Q226" i="13"/>
  <c r="Q238" i="13"/>
  <c r="Q250" i="13"/>
  <c r="Q262" i="13"/>
  <c r="P174" i="13"/>
  <c r="P186" i="13"/>
  <c r="P198" i="13"/>
  <c r="P210" i="13"/>
  <c r="P222" i="13"/>
  <c r="P234" i="13"/>
  <c r="P246" i="13"/>
  <c r="P258" i="13"/>
  <c r="P170" i="13"/>
  <c r="O182" i="13"/>
  <c r="O194" i="13"/>
  <c r="O206" i="13"/>
  <c r="O218" i="13"/>
  <c r="O230" i="13"/>
  <c r="O242" i="13"/>
  <c r="O254" i="13"/>
  <c r="O266" i="13"/>
  <c r="N178" i="13"/>
  <c r="N190" i="13"/>
  <c r="N202" i="13"/>
  <c r="N214" i="13"/>
  <c r="N226" i="13"/>
  <c r="N238" i="13"/>
  <c r="N250" i="13"/>
  <c r="N262" i="13"/>
  <c r="M174" i="13"/>
  <c r="R19" i="28" s="1"/>
  <c r="M186" i="13"/>
  <c r="R31" i="28" s="1"/>
  <c r="M198" i="13"/>
  <c r="M210" i="13"/>
  <c r="M222" i="13"/>
  <c r="M234" i="13"/>
  <c r="M246" i="13"/>
  <c r="M258" i="13"/>
  <c r="M170" i="13"/>
  <c r="R15" i="28" s="1"/>
  <c r="L182" i="13"/>
  <c r="Q27" i="28" s="1"/>
  <c r="L194" i="13"/>
  <c r="L206" i="13"/>
  <c r="L218" i="13"/>
  <c r="L230" i="13"/>
  <c r="L242" i="13"/>
  <c r="L254" i="13"/>
  <c r="L266" i="13"/>
  <c r="K178" i="13"/>
  <c r="P23" i="28" s="1"/>
  <c r="K190" i="13"/>
  <c r="K202" i="13"/>
  <c r="K214" i="13"/>
  <c r="K226" i="13"/>
  <c r="K238" i="13"/>
  <c r="K250" i="13"/>
  <c r="K262" i="13"/>
  <c r="I174" i="13"/>
  <c r="O19" i="28" s="1"/>
  <c r="I186" i="13"/>
  <c r="O31" i="28" s="1"/>
  <c r="I198" i="13"/>
  <c r="I210" i="13"/>
  <c r="I222" i="13"/>
  <c r="I234" i="13"/>
  <c r="I246" i="13"/>
  <c r="I258" i="13"/>
  <c r="F179" i="13"/>
  <c r="N24" i="28" s="1"/>
  <c r="F191" i="13"/>
  <c r="F203" i="13"/>
  <c r="F215" i="13"/>
  <c r="F227" i="13"/>
  <c r="F239" i="13"/>
  <c r="F251" i="13"/>
  <c r="F263" i="13"/>
  <c r="AT177" i="13"/>
  <c r="AR22" i="28" s="1"/>
  <c r="AI183" i="13"/>
  <c r="AG28" i="28" s="1"/>
  <c r="BH189" i="13"/>
  <c r="BF34" i="28" s="1"/>
  <c r="BC194" i="13"/>
  <c r="AT198" i="13"/>
  <c r="BC202" i="13"/>
  <c r="AY206" i="13"/>
  <c r="AV209" i="13"/>
  <c r="BL211" i="13"/>
  <c r="AT214" i="13"/>
  <c r="BG216" i="13"/>
  <c r="BE218" i="13"/>
  <c r="AW220" i="13"/>
  <c r="AO222" i="13"/>
  <c r="BL223" i="13"/>
  <c r="AP225" i="13"/>
  <c r="BH226" i="13"/>
  <c r="AQ228" i="13"/>
  <c r="AP229" i="13"/>
  <c r="AV230" i="13"/>
  <c r="AW231" i="13"/>
  <c r="BC232" i="13"/>
  <c r="AW233" i="13"/>
  <c r="AY234" i="13"/>
  <c r="AZ235" i="13"/>
  <c r="AW236" i="13"/>
  <c r="AZ237" i="13"/>
  <c r="BA238" i="13"/>
  <c r="BC239" i="13"/>
  <c r="AT240" i="13"/>
  <c r="AS241" i="13"/>
  <c r="AQ242" i="13"/>
  <c r="AH243" i="13"/>
  <c r="BL243" i="13"/>
  <c r="BE244" i="13"/>
  <c r="AX245" i="13"/>
  <c r="AM246" i="13"/>
  <c r="AI247" i="13"/>
  <c r="BJ247" i="13"/>
  <c r="AY248" i="13"/>
  <c r="AT249" i="13"/>
  <c r="AM250" i="13"/>
  <c r="BO250" i="13"/>
  <c r="BD251" i="13"/>
  <c r="AZ252" i="13"/>
  <c r="AR253" i="13"/>
  <c r="AG254" i="13"/>
  <c r="BK254" i="13"/>
  <c r="BD255" i="13"/>
  <c r="AW256" i="13"/>
  <c r="AL257" i="13"/>
  <c r="AH258" i="13"/>
  <c r="BI258" i="13"/>
  <c r="AX259" i="13"/>
  <c r="AS260" i="13"/>
  <c r="AL261" i="13"/>
  <c r="BN261" i="13"/>
  <c r="BC262" i="13"/>
  <c r="AY263" i="13"/>
  <c r="AQ264" i="13"/>
  <c r="BM264" i="13"/>
  <c r="BB265" i="13"/>
  <c r="AP266" i="13"/>
  <c r="BN266" i="13"/>
  <c r="AW267" i="13"/>
  <c r="AJ268" i="13"/>
  <c r="BE268" i="13"/>
  <c r="AN269" i="13"/>
  <c r="BJ269" i="13"/>
  <c r="AW170" i="13"/>
  <c r="AU15" i="28" s="1"/>
  <c r="Y174" i="13"/>
  <c r="AA19" i="28" s="1"/>
  <c r="Z179" i="13"/>
  <c r="AB24" i="28" s="1"/>
  <c r="AB183" i="13"/>
  <c r="AD28" i="28" s="1"/>
  <c r="Z189" i="13"/>
  <c r="AB34" i="28" s="1"/>
  <c r="AA194" i="13"/>
  <c r="Y200" i="13"/>
  <c r="AA204" i="13"/>
  <c r="Y210" i="13"/>
  <c r="Z215" i="13"/>
  <c r="AB219" i="13"/>
  <c r="Z225" i="13"/>
  <c r="AA230" i="13"/>
  <c r="Y236" i="13"/>
  <c r="AA240" i="13"/>
  <c r="AA245" i="13"/>
  <c r="AB249" i="13"/>
  <c r="AA254" i="13"/>
  <c r="AB258" i="13"/>
  <c r="AA263" i="13"/>
  <c r="AB267" i="13"/>
  <c r="T174" i="13"/>
  <c r="U182" i="13"/>
  <c r="T192" i="13"/>
  <c r="U200" i="13"/>
  <c r="T210" i="13"/>
  <c r="U218" i="13"/>
  <c r="T228" i="13"/>
  <c r="U236" i="13"/>
  <c r="T246" i="13"/>
  <c r="U254" i="13"/>
  <c r="T262" i="13"/>
  <c r="U268" i="13"/>
  <c r="S178" i="13"/>
  <c r="S190" i="13"/>
  <c r="S202" i="13"/>
  <c r="S214" i="13"/>
  <c r="S226" i="13"/>
  <c r="S238" i="13"/>
  <c r="S250" i="13"/>
  <c r="S262" i="13"/>
  <c r="R174" i="13"/>
  <c r="AL175" i="13"/>
  <c r="AJ20" i="28" s="1"/>
  <c r="AK185" i="13"/>
  <c r="AI30" i="28" s="1"/>
  <c r="BD194" i="13"/>
  <c r="AP202" i="13"/>
  <c r="AP207" i="13"/>
  <c r="BA212" i="13"/>
  <c r="BE216" i="13"/>
  <c r="AJ220" i="13"/>
  <c r="AX222" i="13"/>
  <c r="AQ225" i="13"/>
  <c r="BI227" i="13"/>
  <c r="BJ229" i="13"/>
  <c r="BD231" i="13"/>
  <c r="AV233" i="13"/>
  <c r="AN235" i="13"/>
  <c r="BI236" i="13"/>
  <c r="BC238" i="13"/>
  <c r="AR240" i="13"/>
  <c r="BE241" i="13"/>
  <c r="AQ243" i="13"/>
  <c r="BD244" i="13"/>
  <c r="AI246" i="13"/>
  <c r="AL247" i="13"/>
  <c r="BG248" i="13"/>
  <c r="AK250" i="13"/>
  <c r="AN251" i="13"/>
  <c r="BB252" i="13"/>
  <c r="BO253" i="13"/>
  <c r="AT255" i="13"/>
  <c r="BD256" i="13"/>
  <c r="AI258" i="13"/>
  <c r="AV259" i="13"/>
  <c r="BB260" i="13"/>
  <c r="AI262" i="13"/>
  <c r="AV263" i="13"/>
  <c r="BI264" i="13"/>
  <c r="BI265" i="13"/>
  <c r="BO266" i="13"/>
  <c r="BO267" i="13"/>
  <c r="BH268" i="13"/>
  <c r="BF269" i="13"/>
  <c r="AZ170" i="13"/>
  <c r="AX15" i="28" s="1"/>
  <c r="AC16" i="28"/>
  <c r="AA179" i="13"/>
  <c r="AC24" i="28" s="1"/>
  <c r="AB186" i="13"/>
  <c r="AD31" i="28" s="1"/>
  <c r="Y195" i="13"/>
  <c r="Y203" i="13"/>
  <c r="Z210" i="13"/>
  <c r="Z218" i="13"/>
  <c r="AA225" i="13"/>
  <c r="AA233" i="13"/>
  <c r="AB240" i="13"/>
  <c r="AB246" i="13"/>
  <c r="AA253" i="13"/>
  <c r="AA259" i="13"/>
  <c r="AB264" i="13"/>
  <c r="T172" i="13"/>
  <c r="T184" i="13"/>
  <c r="U194" i="13"/>
  <c r="T208" i="13"/>
  <c r="T220" i="13"/>
  <c r="U230" i="13"/>
  <c r="T244" i="13"/>
  <c r="T256" i="13"/>
  <c r="U264" i="13"/>
  <c r="S175" i="13"/>
  <c r="S191" i="13"/>
  <c r="S206" i="13"/>
  <c r="S223" i="13"/>
  <c r="S239" i="13"/>
  <c r="S254" i="13"/>
  <c r="R171" i="13"/>
  <c r="R186" i="13"/>
  <c r="R200" i="13"/>
  <c r="R214" i="13"/>
  <c r="R229" i="13"/>
  <c r="R244" i="13"/>
  <c r="R258" i="13"/>
  <c r="Q172" i="13"/>
  <c r="Q186" i="13"/>
  <c r="Q201" i="13"/>
  <c r="Q216" i="13"/>
  <c r="Q230" i="13"/>
  <c r="Q244" i="13"/>
  <c r="Q258" i="13"/>
  <c r="P173" i="13"/>
  <c r="P188" i="13"/>
  <c r="P202" i="13"/>
  <c r="P216" i="13"/>
  <c r="P230" i="13"/>
  <c r="P245" i="13"/>
  <c r="P260" i="13"/>
  <c r="O174" i="13"/>
  <c r="O188" i="13"/>
  <c r="O202" i="13"/>
  <c r="O217" i="13"/>
  <c r="O232" i="13"/>
  <c r="O246" i="13"/>
  <c r="O260" i="13"/>
  <c r="N174" i="13"/>
  <c r="N189" i="13"/>
  <c r="N204" i="13"/>
  <c r="N218" i="13"/>
  <c r="N232" i="13"/>
  <c r="N246" i="13"/>
  <c r="N261" i="13"/>
  <c r="M176" i="13"/>
  <c r="R21" i="28" s="1"/>
  <c r="M190" i="13"/>
  <c r="M204" i="13"/>
  <c r="M218" i="13"/>
  <c r="M233" i="13"/>
  <c r="M248" i="13"/>
  <c r="M262" i="13"/>
  <c r="L176" i="13"/>
  <c r="Q21" i="28" s="1"/>
  <c r="L190" i="13"/>
  <c r="L205" i="13"/>
  <c r="L220" i="13"/>
  <c r="L234" i="13"/>
  <c r="L248" i="13"/>
  <c r="L262" i="13"/>
  <c r="K176" i="13"/>
  <c r="P21" i="28" s="1"/>
  <c r="K189" i="13"/>
  <c r="P34" i="28" s="1"/>
  <c r="K203" i="13"/>
  <c r="K216" i="13"/>
  <c r="K229" i="13"/>
  <c r="K242" i="13"/>
  <c r="K255" i="13"/>
  <c r="K268" i="13"/>
  <c r="I181" i="13"/>
  <c r="O26" i="28" s="1"/>
  <c r="I194" i="13"/>
  <c r="I207" i="13"/>
  <c r="I220" i="13"/>
  <c r="I233" i="13"/>
  <c r="I247" i="13"/>
  <c r="I260" i="13"/>
  <c r="F183" i="13"/>
  <c r="N28" i="28" s="1"/>
  <c r="F196" i="13"/>
  <c r="F209" i="13"/>
  <c r="F222" i="13"/>
  <c r="F235" i="13"/>
  <c r="F248" i="13"/>
  <c r="F261" i="13"/>
  <c r="AR175" i="13"/>
  <c r="AP20" i="28" s="1"/>
  <c r="BI185" i="13"/>
  <c r="BG30" i="28" s="1"/>
  <c r="AQ195" i="13"/>
  <c r="BB202" i="13"/>
  <c r="AV208" i="13"/>
  <c r="BC212" i="13"/>
  <c r="BH216" i="13"/>
  <c r="AK220" i="13"/>
  <c r="BC222" i="13"/>
  <c r="BA225" i="13"/>
  <c r="AN228" i="13"/>
  <c r="AP230" i="13"/>
  <c r="BF231" i="13"/>
  <c r="AX233" i="13"/>
  <c r="AO235" i="13"/>
  <c r="BL236" i="13"/>
  <c r="BD238" i="13"/>
  <c r="AS240" i="13"/>
  <c r="BO241" i="13"/>
  <c r="AR243" i="13"/>
  <c r="BG244" i="13"/>
  <c r="AK246" i="13"/>
  <c r="AT247" i="13"/>
  <c r="BH248" i="13"/>
  <c r="AL250" i="13"/>
  <c r="AZ251" i="13"/>
  <c r="BC252" i="13"/>
  <c r="AO254" i="13"/>
  <c r="BB255" i="13"/>
  <c r="BE256" i="13"/>
  <c r="AJ258" i="13"/>
  <c r="AW259" i="13"/>
  <c r="BK260" i="13"/>
  <c r="AL262" i="13"/>
  <c r="AZ263" i="13"/>
  <c r="BK264" i="13"/>
  <c r="BJ265" i="13"/>
  <c r="AG267" i="13"/>
  <c r="AG268" i="13"/>
  <c r="BI268" i="13"/>
  <c r="BG269" i="13"/>
  <c r="BA170" i="13"/>
  <c r="AY15" i="28" s="1"/>
  <c r="Y173" i="13"/>
  <c r="AA18" i="28" s="1"/>
  <c r="Y180" i="13"/>
  <c r="AA25" i="28" s="1"/>
  <c r="Z188" i="13"/>
  <c r="AB33" i="28" s="1"/>
  <c r="Z195" i="13"/>
  <c r="AA203" i="13"/>
  <c r="AA210" i="13"/>
  <c r="Y219" i="13"/>
  <c r="AB225" i="13"/>
  <c r="Z234" i="13"/>
  <c r="Y242" i="13"/>
  <c r="Y248" i="13"/>
  <c r="Y254" i="13"/>
  <c r="Y260" i="13"/>
  <c r="Y266" i="13"/>
  <c r="T173" i="13"/>
  <c r="T185" i="13"/>
  <c r="T197" i="13"/>
  <c r="T209" i="13"/>
  <c r="T221" i="13"/>
  <c r="T233" i="13"/>
  <c r="T245" i="13"/>
  <c r="T257" i="13"/>
  <c r="U265" i="13"/>
  <c r="S176" i="13"/>
  <c r="S192" i="13"/>
  <c r="S208" i="13"/>
  <c r="S224" i="13"/>
  <c r="S240" i="13"/>
  <c r="S256" i="13"/>
  <c r="R172" i="13"/>
  <c r="R187" i="13"/>
  <c r="R201" i="13"/>
  <c r="R216" i="13"/>
  <c r="R231" i="13"/>
  <c r="R245" i="13"/>
  <c r="R259" i="13"/>
  <c r="Q173" i="13"/>
  <c r="Q188" i="13"/>
  <c r="Q203" i="13"/>
  <c r="Q217" i="13"/>
  <c r="Q231" i="13"/>
  <c r="Q245" i="13"/>
  <c r="Q260" i="13"/>
  <c r="P175" i="13"/>
  <c r="P189" i="13"/>
  <c r="P203" i="13"/>
  <c r="P217" i="13"/>
  <c r="P232" i="13"/>
  <c r="P247" i="13"/>
  <c r="P261" i="13"/>
  <c r="O175" i="13"/>
  <c r="O189" i="13"/>
  <c r="O204" i="13"/>
  <c r="O219" i="13"/>
  <c r="O233" i="13"/>
  <c r="O247" i="13"/>
  <c r="O261" i="13"/>
  <c r="N176" i="13"/>
  <c r="N191" i="13"/>
  <c r="N205" i="13"/>
  <c r="N219" i="13"/>
  <c r="N233" i="13"/>
  <c r="N248" i="13"/>
  <c r="N263" i="13"/>
  <c r="M177" i="13"/>
  <c r="R22" i="28" s="1"/>
  <c r="M191" i="13"/>
  <c r="M205" i="13"/>
  <c r="M220" i="13"/>
  <c r="M235" i="13"/>
  <c r="M249" i="13"/>
  <c r="M263" i="13"/>
  <c r="L177" i="13"/>
  <c r="Q22" i="28" s="1"/>
  <c r="L192" i="13"/>
  <c r="L207" i="13"/>
  <c r="L221" i="13"/>
  <c r="L235" i="13"/>
  <c r="L249" i="13"/>
  <c r="L264" i="13"/>
  <c r="K177" i="13"/>
  <c r="P22" i="28" s="1"/>
  <c r="K191" i="13"/>
  <c r="K204" i="13"/>
  <c r="K217" i="13"/>
  <c r="K230" i="13"/>
  <c r="K243" i="13"/>
  <c r="K256" i="13"/>
  <c r="K269" i="13"/>
  <c r="I182" i="13"/>
  <c r="O27" i="28" s="1"/>
  <c r="I195" i="13"/>
  <c r="I208" i="13"/>
  <c r="I221" i="13"/>
  <c r="I235" i="13"/>
  <c r="I248" i="13"/>
  <c r="I261" i="13"/>
  <c r="F184" i="13"/>
  <c r="N29" i="28" s="1"/>
  <c r="F197" i="13"/>
  <c r="F210" i="13"/>
  <c r="F223" i="13"/>
  <c r="F236" i="13"/>
  <c r="F249" i="13"/>
  <c r="F262" i="13"/>
  <c r="AI176" i="13"/>
  <c r="AG21" i="28" s="1"/>
  <c r="BL188" i="13"/>
  <c r="BJ33" i="28" s="1"/>
  <c r="AR195" i="13"/>
  <c r="AH203" i="13"/>
  <c r="BJ208" i="13"/>
  <c r="BD212" i="13"/>
  <c r="AP217" i="13"/>
  <c r="AV220" i="13"/>
  <c r="AR223" i="13"/>
  <c r="BF225" i="13"/>
  <c r="AR228" i="13"/>
  <c r="AS230" i="13"/>
  <c r="BG231" i="13"/>
  <c r="BH233" i="13"/>
  <c r="AY235" i="13"/>
  <c r="AQ237" i="13"/>
  <c r="BI238" i="13"/>
  <c r="AY240" i="13"/>
  <c r="AG242" i="13"/>
  <c r="AT243" i="13"/>
  <c r="BH244" i="13"/>
  <c r="AL246" i="13"/>
  <c r="AZ247" i="13"/>
  <c r="BI248" i="13"/>
  <c r="AO250" i="13"/>
  <c r="BB251" i="13"/>
  <c r="BK252" i="13"/>
  <c r="AP254" i="13"/>
  <c r="BC255" i="13"/>
  <c r="AH257" i="13"/>
  <c r="AK258" i="13"/>
  <c r="BF259" i="13"/>
  <c r="AJ261" i="13"/>
  <c r="AM262" i="13"/>
  <c r="BA263" i="13"/>
  <c r="BL264" i="13"/>
  <c r="AH266" i="13"/>
  <c r="AI267" i="13"/>
  <c r="AH268" i="13"/>
  <c r="BJ268" i="13"/>
  <c r="BI269" i="13"/>
  <c r="BB170" i="13"/>
  <c r="AZ15" i="28" s="1"/>
  <c r="Z173" i="13"/>
  <c r="AB18" i="28" s="1"/>
  <c r="Z180" i="13"/>
  <c r="AB25" i="28" s="1"/>
  <c r="AA188" i="13"/>
  <c r="AC33" i="28" s="1"/>
  <c r="AA195" i="13"/>
  <c r="Y204" i="13"/>
  <c r="AB210" i="13"/>
  <c r="Z219" i="13"/>
  <c r="Y227" i="13"/>
  <c r="AA234" i="13"/>
  <c r="Z242" i="13"/>
  <c r="Z248" i="13"/>
  <c r="Z254" i="13"/>
  <c r="Z260" i="13"/>
  <c r="Z266" i="13"/>
  <c r="U173" i="13"/>
  <c r="U185" i="13"/>
  <c r="U197" i="13"/>
  <c r="U209" i="13"/>
  <c r="U221" i="13"/>
  <c r="U233" i="13"/>
  <c r="U245" i="13"/>
  <c r="U257" i="13"/>
  <c r="T266" i="13"/>
  <c r="S177" i="13"/>
  <c r="S193" i="13"/>
  <c r="S209" i="13"/>
  <c r="S225" i="13"/>
  <c r="S241" i="13"/>
  <c r="S257" i="13"/>
  <c r="R173" i="13"/>
  <c r="R188" i="13"/>
  <c r="R202" i="13"/>
  <c r="R217" i="13"/>
  <c r="R232" i="13"/>
  <c r="R246" i="13"/>
  <c r="R260" i="13"/>
  <c r="Q174" i="13"/>
  <c r="Q189" i="13"/>
  <c r="Q204" i="13"/>
  <c r="Q218" i="13"/>
  <c r="Q232" i="13"/>
  <c r="Q246" i="13"/>
  <c r="Q261" i="13"/>
  <c r="P176" i="13"/>
  <c r="P190" i="13"/>
  <c r="P204" i="13"/>
  <c r="P218" i="13"/>
  <c r="P233" i="13"/>
  <c r="P248" i="13"/>
  <c r="P262" i="13"/>
  <c r="O176" i="13"/>
  <c r="O190" i="13"/>
  <c r="O205" i="13"/>
  <c r="O220" i="13"/>
  <c r="O234" i="13"/>
  <c r="O248" i="13"/>
  <c r="O262" i="13"/>
  <c r="N177" i="13"/>
  <c r="N192" i="13"/>
  <c r="N206" i="13"/>
  <c r="N220" i="13"/>
  <c r="N234" i="13"/>
  <c r="N249" i="13"/>
  <c r="N264" i="13"/>
  <c r="M178" i="13"/>
  <c r="R23" i="28" s="1"/>
  <c r="M192" i="13"/>
  <c r="M206" i="13"/>
  <c r="M221" i="13"/>
  <c r="M236" i="13"/>
  <c r="M250" i="13"/>
  <c r="M264" i="13"/>
  <c r="L178" i="13"/>
  <c r="Q23" i="28" s="1"/>
  <c r="L193" i="13"/>
  <c r="L208" i="13"/>
  <c r="L222" i="13"/>
  <c r="L236" i="13"/>
  <c r="L250" i="13"/>
  <c r="L265" i="13"/>
  <c r="K179" i="13"/>
  <c r="P24" i="28" s="1"/>
  <c r="K192" i="13"/>
  <c r="K205" i="13"/>
  <c r="K218" i="13"/>
  <c r="K231" i="13"/>
  <c r="K244" i="13"/>
  <c r="K257" i="13"/>
  <c r="K170" i="13"/>
  <c r="P15" i="28" s="1"/>
  <c r="I183" i="13"/>
  <c r="O28" i="28" s="1"/>
  <c r="I196" i="13"/>
  <c r="I209" i="13"/>
  <c r="I223" i="13"/>
  <c r="I236" i="13"/>
  <c r="I249" i="13"/>
  <c r="I262" i="13"/>
  <c r="F172" i="13"/>
  <c r="N17" i="28" s="1"/>
  <c r="F185" i="13"/>
  <c r="N30" i="28" s="1"/>
  <c r="F198" i="13"/>
  <c r="F211" i="13"/>
  <c r="F224" i="13"/>
  <c r="F237" i="13"/>
  <c r="F250" i="13"/>
  <c r="F264" i="13"/>
  <c r="C23" i="10"/>
  <c r="BK177" i="13"/>
  <c r="BI22" i="28" s="1"/>
  <c r="BN188" i="13"/>
  <c r="BL33" i="28" s="1"/>
  <c r="AS195" i="13"/>
  <c r="AQ203" i="13"/>
  <c r="AG209" i="13"/>
  <c r="AH214" i="13"/>
  <c r="AQ217" i="13"/>
  <c r="AZ220" i="13"/>
  <c r="AS223" i="13"/>
  <c r="BG225" i="13"/>
  <c r="AU228" i="13"/>
  <c r="AU230" i="13"/>
  <c r="AQ232" i="13"/>
  <c r="BI233" i="13"/>
  <c r="BA235" i="13"/>
  <c r="AV237" i="13"/>
  <c r="BJ238" i="13"/>
  <c r="BD240" i="13"/>
  <c r="AP242" i="13"/>
  <c r="BF243" i="13"/>
  <c r="BI244" i="13"/>
  <c r="AN246" i="13"/>
  <c r="BA247" i="13"/>
  <c r="BK248" i="13"/>
  <c r="AP250" i="13"/>
  <c r="BC251" i="13"/>
  <c r="AH253" i="13"/>
  <c r="AQ254" i="13"/>
  <c r="BF255" i="13"/>
  <c r="AJ257" i="13"/>
  <c r="AS258" i="13"/>
  <c r="BG259" i="13"/>
  <c r="AK261" i="13"/>
  <c r="AY262" i="13"/>
  <c r="BB263" i="13"/>
  <c r="AI265" i="13"/>
  <c r="AM266" i="13"/>
  <c r="AJ267" i="13"/>
  <c r="AK268" i="13"/>
  <c r="AH269" i="13"/>
  <c r="BK269" i="13"/>
  <c r="BI170" i="13"/>
  <c r="BG15" i="28" s="1"/>
  <c r="AA173" i="13"/>
  <c r="AC18" i="28" s="1"/>
  <c r="AA180" i="13"/>
  <c r="AC25" i="28" s="1"/>
  <c r="Y189" i="13"/>
  <c r="AA34" i="28" s="1"/>
  <c r="AB195" i="13"/>
  <c r="Z204" i="13"/>
  <c r="Y212" i="13"/>
  <c r="AA219" i="13"/>
  <c r="Z227" i="13"/>
  <c r="AB234" i="13"/>
  <c r="AA242" i="13"/>
  <c r="Y249" i="13"/>
  <c r="Y255" i="13"/>
  <c r="AA260" i="13"/>
  <c r="Y267" i="13"/>
  <c r="T175" i="13"/>
  <c r="T186" i="13"/>
  <c r="T199" i="13"/>
  <c r="T211" i="13"/>
  <c r="T222" i="13"/>
  <c r="T235" i="13"/>
  <c r="T247" i="13"/>
  <c r="T258" i="13"/>
  <c r="T267" i="13"/>
  <c r="S179" i="13"/>
  <c r="S194" i="13"/>
  <c r="S211" i="13"/>
  <c r="S227" i="13"/>
  <c r="S242" i="13"/>
  <c r="S259" i="13"/>
  <c r="R175" i="13"/>
  <c r="R189" i="13"/>
  <c r="R204" i="13"/>
  <c r="R219" i="13"/>
  <c r="R233" i="13"/>
  <c r="R247" i="13"/>
  <c r="R261" i="13"/>
  <c r="Q176" i="13"/>
  <c r="Q191" i="13"/>
  <c r="Q205" i="13"/>
  <c r="Q219" i="13"/>
  <c r="Q233" i="13"/>
  <c r="Q248" i="13"/>
  <c r="Q263" i="13"/>
  <c r="P177" i="13"/>
  <c r="P191" i="13"/>
  <c r="P205" i="13"/>
  <c r="P220" i="13"/>
  <c r="P235" i="13"/>
  <c r="P249" i="13"/>
  <c r="P263" i="13"/>
  <c r="O177" i="13"/>
  <c r="O192" i="13"/>
  <c r="O207" i="13"/>
  <c r="O221" i="13"/>
  <c r="O235" i="13"/>
  <c r="O249" i="13"/>
  <c r="O264" i="13"/>
  <c r="N179" i="13"/>
  <c r="N193" i="13"/>
  <c r="N207" i="13"/>
  <c r="N221" i="13"/>
  <c r="N236" i="13"/>
  <c r="N251" i="13"/>
  <c r="N265" i="13"/>
  <c r="M179" i="13"/>
  <c r="R24" i="28" s="1"/>
  <c r="M193" i="13"/>
  <c r="M208" i="13"/>
  <c r="M223" i="13"/>
  <c r="M237" i="13"/>
  <c r="M251" i="13"/>
  <c r="M265" i="13"/>
  <c r="L180" i="13"/>
  <c r="Q25" i="28" s="1"/>
  <c r="L195" i="13"/>
  <c r="L209" i="13"/>
  <c r="L223" i="13"/>
  <c r="L237" i="13"/>
  <c r="L252" i="13"/>
  <c r="L267" i="13"/>
  <c r="K180" i="13"/>
  <c r="P25" i="28" s="1"/>
  <c r="K193" i="13"/>
  <c r="K206" i="13"/>
  <c r="K219" i="13"/>
  <c r="K232" i="13"/>
  <c r="K245" i="13"/>
  <c r="K258" i="13"/>
  <c r="I184" i="13"/>
  <c r="O29" i="28" s="1"/>
  <c r="I197" i="13"/>
  <c r="I211" i="13"/>
  <c r="I224" i="13"/>
  <c r="I237" i="13"/>
  <c r="I250" i="13"/>
  <c r="I263" i="13"/>
  <c r="F173" i="13"/>
  <c r="N18" i="28" s="1"/>
  <c r="F186" i="13"/>
  <c r="N31" i="28" s="1"/>
  <c r="F199" i="13"/>
  <c r="F212" i="13"/>
  <c r="F225" i="13"/>
  <c r="F238" i="13"/>
  <c r="F252" i="13"/>
  <c r="F265" i="13"/>
  <c r="BL177" i="13"/>
  <c r="BJ22" i="28" s="1"/>
  <c r="AK189" i="13"/>
  <c r="AI34" i="28" s="1"/>
  <c r="AL198" i="13"/>
  <c r="AJ204" i="13"/>
  <c r="BJ209" i="13"/>
  <c r="AK214" i="13"/>
  <c r="AR217" i="13"/>
  <c r="BA220" i="13"/>
  <c r="AX223" i="13"/>
  <c r="AV226" i="13"/>
  <c r="AV228" i="13"/>
  <c r="BA230" i="13"/>
  <c r="AR232" i="13"/>
  <c r="BJ233" i="13"/>
  <c r="BG235" i="13"/>
  <c r="AX237" i="13"/>
  <c r="AQ239" i="13"/>
  <c r="BE240" i="13"/>
  <c r="AR242" i="13"/>
  <c r="BG243" i="13"/>
  <c r="BJ244" i="13"/>
  <c r="AV246" i="13"/>
  <c r="BI247" i="13"/>
  <c r="AN249" i="13"/>
  <c r="AQ250" i="13"/>
  <c r="BE251" i="13"/>
  <c r="AI253" i="13"/>
  <c r="AS254" i="13"/>
  <c r="BG255" i="13"/>
  <c r="AK257" i="13"/>
  <c r="AY258" i="13"/>
  <c r="BH259" i="13"/>
  <c r="AN261" i="13"/>
  <c r="BA262" i="13"/>
  <c r="BJ263" i="13"/>
  <c r="AJ265" i="13"/>
  <c r="AO266" i="13"/>
  <c r="AS267" i="13"/>
  <c r="AL268" i="13"/>
  <c r="AK269" i="13"/>
  <c r="BL269" i="13"/>
  <c r="BL170" i="13"/>
  <c r="BJ15" i="28" s="1"/>
  <c r="Z174" i="13"/>
  <c r="AB19" i="28" s="1"/>
  <c r="Z182" i="13"/>
  <c r="AB27" i="28" s="1"/>
  <c r="AA189" i="13"/>
  <c r="AC34" i="28" s="1"/>
  <c r="AA197" i="13"/>
  <c r="AB204" i="13"/>
  <c r="Y213" i="13"/>
  <c r="Y221" i="13"/>
  <c r="Z228" i="13"/>
  <c r="Z236" i="13"/>
  <c r="Z243" i="13"/>
  <c r="Z249" i="13"/>
  <c r="Z255" i="13"/>
  <c r="Z261" i="13"/>
  <c r="Z267" i="13"/>
  <c r="U175" i="13"/>
  <c r="U187" i="13"/>
  <c r="U199" i="13"/>
  <c r="U211" i="13"/>
  <c r="U223" i="13"/>
  <c r="U235" i="13"/>
  <c r="U247" i="13"/>
  <c r="T259" i="13"/>
  <c r="U267" i="13"/>
  <c r="S180" i="13"/>
  <c r="S196" i="13"/>
  <c r="S212" i="13"/>
  <c r="S228" i="13"/>
  <c r="S244" i="13"/>
  <c r="S260" i="13"/>
  <c r="R176" i="13"/>
  <c r="R190" i="13"/>
  <c r="R205" i="13"/>
  <c r="R220" i="13"/>
  <c r="R234" i="13"/>
  <c r="R248" i="13"/>
  <c r="R262" i="13"/>
  <c r="Q177" i="13"/>
  <c r="Q192" i="13"/>
  <c r="Q206" i="13"/>
  <c r="Q220" i="13"/>
  <c r="Q234" i="13"/>
  <c r="Q249" i="13"/>
  <c r="Q264" i="13"/>
  <c r="P178" i="13"/>
  <c r="P192" i="13"/>
  <c r="P206" i="13"/>
  <c r="P221" i="13"/>
  <c r="P236" i="13"/>
  <c r="P250" i="13"/>
  <c r="P264" i="13"/>
  <c r="O178" i="13"/>
  <c r="O193" i="13"/>
  <c r="O208" i="13"/>
  <c r="O222" i="13"/>
  <c r="O236" i="13"/>
  <c r="O250" i="13"/>
  <c r="O265" i="13"/>
  <c r="N180" i="13"/>
  <c r="N194" i="13"/>
  <c r="N208" i="13"/>
  <c r="N222" i="13"/>
  <c r="N237" i="13"/>
  <c r="N252" i="13"/>
  <c r="N266" i="13"/>
  <c r="M180" i="13"/>
  <c r="R25" i="28" s="1"/>
  <c r="M194" i="13"/>
  <c r="M209" i="13"/>
  <c r="M224" i="13"/>
  <c r="M238" i="13"/>
  <c r="M252" i="13"/>
  <c r="M266" i="13"/>
  <c r="L181" i="13"/>
  <c r="Q26" i="28" s="1"/>
  <c r="L196" i="13"/>
  <c r="L210" i="13"/>
  <c r="L224" i="13"/>
  <c r="L238" i="13"/>
  <c r="L253" i="13"/>
  <c r="L268" i="13"/>
  <c r="K181" i="13"/>
  <c r="P26" i="28" s="1"/>
  <c r="K194" i="13"/>
  <c r="K207" i="13"/>
  <c r="K220" i="13"/>
  <c r="K233" i="13"/>
  <c r="K246" i="13"/>
  <c r="K259" i="13"/>
  <c r="I172" i="13"/>
  <c r="O17" i="28" s="1"/>
  <c r="I185" i="13"/>
  <c r="O30" i="28" s="1"/>
  <c r="I199" i="13"/>
  <c r="I212" i="13"/>
  <c r="I225" i="13"/>
  <c r="I238" i="13"/>
  <c r="I251" i="13"/>
  <c r="I264" i="13"/>
  <c r="F174" i="13"/>
  <c r="N19" i="28" s="1"/>
  <c r="F187" i="13"/>
  <c r="N32" i="28" s="1"/>
  <c r="F200" i="13"/>
  <c r="F213" i="13"/>
  <c r="F226" i="13"/>
  <c r="F240" i="13"/>
  <c r="F253" i="13"/>
  <c r="F266" i="13"/>
  <c r="AK190" i="13"/>
  <c r="AK204" i="13"/>
  <c r="BK209" i="13"/>
  <c r="AM214" i="13"/>
  <c r="AS218" i="13"/>
  <c r="AJ221" i="13"/>
  <c r="BM223" i="13"/>
  <c r="BA226" i="13"/>
  <c r="AW228" i="13"/>
  <c r="BB230" i="13"/>
  <c r="AS232" i="13"/>
  <c r="AT234" i="13"/>
  <c r="BH235" i="13"/>
  <c r="BA237" i="13"/>
  <c r="AR239" i="13"/>
  <c r="BF240" i="13"/>
  <c r="AT242" i="13"/>
  <c r="BI243" i="13"/>
  <c r="AP245" i="13"/>
  <c r="AW246" i="13"/>
  <c r="BK247" i="13"/>
  <c r="AO249" i="13"/>
  <c r="AR250" i="13"/>
  <c r="BM251" i="13"/>
  <c r="AQ253" i="13"/>
  <c r="BE254" i="13"/>
  <c r="BH255" i="13"/>
  <c r="AM257" i="13"/>
  <c r="AZ258" i="13"/>
  <c r="BJ259" i="13"/>
  <c r="AO261" i="13"/>
  <c r="BB262" i="13"/>
  <c r="AG264" i="13"/>
  <c r="AK265" i="13"/>
  <c r="AR266" i="13"/>
  <c r="AU267" i="13"/>
  <c r="AM268" i="13"/>
  <c r="AL269" i="13"/>
  <c r="AI170" i="13"/>
  <c r="AG15" i="28" s="1"/>
  <c r="BM170" i="13"/>
  <c r="BK15" i="28" s="1"/>
  <c r="AA174" i="13"/>
  <c r="AC19" i="28" s="1"/>
  <c r="Y183" i="13"/>
  <c r="AA28" i="28" s="1"/>
  <c r="AB189" i="13"/>
  <c r="AD34" i="28" s="1"/>
  <c r="Z198" i="13"/>
  <c r="Y206" i="13"/>
  <c r="AA213" i="13"/>
  <c r="Z221" i="13"/>
  <c r="AB228" i="13"/>
  <c r="AA236" i="13"/>
  <c r="BD181" i="13"/>
  <c r="BB26" i="28" s="1"/>
  <c r="AN190" i="13"/>
  <c r="AX199" i="13"/>
  <c r="AN206" i="13"/>
  <c r="AK210" i="13"/>
  <c r="AZ214" i="13"/>
  <c r="AZ218" i="13"/>
  <c r="BB221" i="13"/>
  <c r="AO224" i="13"/>
  <c r="BM226" i="13"/>
  <c r="AM229" i="13"/>
  <c r="BM230" i="13"/>
  <c r="BE232" i="13"/>
  <c r="AW234" i="13"/>
  <c r="AP236" i="13"/>
  <c r="BL237" i="13"/>
  <c r="BD239" i="13"/>
  <c r="AP241" i="13"/>
  <c r="AV242" i="13"/>
  <c r="BO243" i="13"/>
  <c r="AS245" i="13"/>
  <c r="BK246" i="13"/>
  <c r="AG248" i="13"/>
  <c r="AV249" i="13"/>
  <c r="BI250" i="13"/>
  <c r="BO251" i="13"/>
  <c r="AU253" i="13"/>
  <c r="BH254" i="13"/>
  <c r="AO256" i="13"/>
  <c r="AV257" i="13"/>
  <c r="BJ258" i="13"/>
  <c r="AN260" i="13"/>
  <c r="AQ261" i="13"/>
  <c r="BL262" i="13"/>
  <c r="AP264" i="13"/>
  <c r="AW265" i="13"/>
  <c r="AT266" i="13"/>
  <c r="AX267" i="13"/>
  <c r="AV268" i="13"/>
  <c r="AS269" i="13"/>
  <c r="AN170" i="13"/>
  <c r="AL15" i="28" s="1"/>
  <c r="Y176" i="13"/>
  <c r="AA21" i="28" s="1"/>
  <c r="AA183" i="13"/>
  <c r="AC28" i="28" s="1"/>
  <c r="Z191" i="13"/>
  <c r="AB198" i="13"/>
  <c r="AA206" i="13"/>
  <c r="Y215" i="13"/>
  <c r="Y222" i="13"/>
  <c r="Z230" i="13"/>
  <c r="Z237" i="13"/>
  <c r="Y245" i="13"/>
  <c r="Y251" i="13"/>
  <c r="Y257" i="13"/>
  <c r="Y263" i="13"/>
  <c r="Y269" i="13"/>
  <c r="T179" i="13"/>
  <c r="T191" i="13"/>
  <c r="T203" i="13"/>
  <c r="T215" i="13"/>
  <c r="T227" i="13"/>
  <c r="T239" i="13"/>
  <c r="T251" i="13"/>
  <c r="T261" i="13"/>
  <c r="U269" i="13"/>
  <c r="S184" i="13"/>
  <c r="S200" i="13"/>
  <c r="S216" i="13"/>
  <c r="S232" i="13"/>
  <c r="S248" i="13"/>
  <c r="S264" i="13"/>
  <c r="R180" i="13"/>
  <c r="R195" i="13"/>
  <c r="R209" i="13"/>
  <c r="R223" i="13"/>
  <c r="R237" i="13"/>
  <c r="R252" i="13"/>
  <c r="R267" i="13"/>
  <c r="Q181" i="13"/>
  <c r="Q195" i="13"/>
  <c r="Q209" i="13"/>
  <c r="Q224" i="13"/>
  <c r="Q239" i="13"/>
  <c r="Q253" i="13"/>
  <c r="Q267" i="13"/>
  <c r="P181" i="13"/>
  <c r="P196" i="13"/>
  <c r="P211" i="13"/>
  <c r="P225" i="13"/>
  <c r="P239" i="13"/>
  <c r="P253" i="13"/>
  <c r="P268" i="13"/>
  <c r="O183" i="13"/>
  <c r="O197" i="13"/>
  <c r="O211" i="13"/>
  <c r="O225" i="13"/>
  <c r="O240" i="13"/>
  <c r="O255" i="13"/>
  <c r="O269" i="13"/>
  <c r="N183" i="13"/>
  <c r="N197" i="13"/>
  <c r="N212" i="13"/>
  <c r="N227" i="13"/>
  <c r="N241" i="13"/>
  <c r="N255" i="13"/>
  <c r="N269" i="13"/>
  <c r="M184" i="13"/>
  <c r="R29" i="28" s="1"/>
  <c r="M199" i="13"/>
  <c r="M213" i="13"/>
  <c r="M227" i="13"/>
  <c r="M241" i="13"/>
  <c r="M256" i="13"/>
  <c r="L185" i="13"/>
  <c r="Q30" i="28" s="1"/>
  <c r="L199" i="13"/>
  <c r="L213" i="13"/>
  <c r="L228" i="13"/>
  <c r="L243" i="13"/>
  <c r="L257" i="13"/>
  <c r="K184" i="13"/>
  <c r="P29" i="28" s="1"/>
  <c r="K197" i="13"/>
  <c r="K210" i="13"/>
  <c r="K223" i="13"/>
  <c r="K236" i="13"/>
  <c r="K249" i="13"/>
  <c r="K263" i="13"/>
  <c r="I176" i="13"/>
  <c r="O21" i="28" s="1"/>
  <c r="I189" i="13"/>
  <c r="O34" i="28" s="1"/>
  <c r="I202" i="13"/>
  <c r="I215" i="13"/>
  <c r="I228" i="13"/>
  <c r="I241" i="13"/>
  <c r="I254" i="13"/>
  <c r="I267" i="13"/>
  <c r="F177" i="13"/>
  <c r="N22" i="28" s="1"/>
  <c r="F190" i="13"/>
  <c r="F204" i="13"/>
  <c r="F217" i="13"/>
  <c r="F230" i="13"/>
  <c r="F243" i="13"/>
  <c r="F256" i="13"/>
  <c r="F269" i="13"/>
  <c r="F244" i="13"/>
  <c r="F218" i="13"/>
  <c r="F192" i="13"/>
  <c r="I268" i="13"/>
  <c r="I242" i="13"/>
  <c r="I216" i="13"/>
  <c r="I190" i="13"/>
  <c r="K264" i="13"/>
  <c r="K237" i="13"/>
  <c r="K211" i="13"/>
  <c r="K185" i="13"/>
  <c r="P30" i="28" s="1"/>
  <c r="L258" i="13"/>
  <c r="L229" i="13"/>
  <c r="L200" i="13"/>
  <c r="L172" i="13"/>
  <c r="Q17" i="28" s="1"/>
  <c r="M242" i="13"/>
  <c r="M214" i="13"/>
  <c r="M185" i="13"/>
  <c r="R30" i="28" s="1"/>
  <c r="N256" i="13"/>
  <c r="N228" i="13"/>
  <c r="N198" i="13"/>
  <c r="O170" i="13"/>
  <c r="O241" i="13"/>
  <c r="O212" i="13"/>
  <c r="O184" i="13"/>
  <c r="P254" i="13"/>
  <c r="P226" i="13"/>
  <c r="P197" i="13"/>
  <c r="Q268" i="13"/>
  <c r="Q240" i="13"/>
  <c r="Q210" i="13"/>
  <c r="Q182" i="13"/>
  <c r="R253" i="13"/>
  <c r="R224" i="13"/>
  <c r="R196" i="13"/>
  <c r="S265" i="13"/>
  <c r="S233" i="13"/>
  <c r="S201" i="13"/>
  <c r="U170" i="13"/>
  <c r="U251" i="13"/>
  <c r="U227" i="13"/>
  <c r="U203" i="13"/>
  <c r="U179" i="13"/>
  <c r="Z263" i="13"/>
  <c r="Z251" i="13"/>
  <c r="Y239" i="13"/>
  <c r="AA216" i="13"/>
  <c r="AA200" i="13"/>
  <c r="Z183" i="13"/>
  <c r="AB28" i="28" s="1"/>
  <c r="AY170" i="13"/>
  <c r="AW15" i="28" s="1"/>
  <c r="AY268" i="13"/>
  <c r="AS266" i="13"/>
  <c r="AR263" i="13"/>
  <c r="AP260" i="13"/>
  <c r="BA256" i="13"/>
  <c r="AZ253" i="13"/>
  <c r="BG250" i="13"/>
  <c r="AJ247" i="13"/>
  <c r="AK244" i="13"/>
  <c r="AP240" i="13"/>
  <c r="AV236" i="13"/>
  <c r="BD232" i="13"/>
  <c r="AT227" i="13"/>
  <c r="AL222" i="13"/>
  <c r="BM211" i="13"/>
  <c r="AG200" i="13"/>
  <c r="BA182" i="13"/>
  <c r="AY27" i="28" s="1"/>
  <c r="F268" i="13"/>
  <c r="F242" i="13"/>
  <c r="F216" i="13"/>
  <c r="F189" i="13"/>
  <c r="N34" i="28" s="1"/>
  <c r="I266" i="13"/>
  <c r="I240" i="13"/>
  <c r="I214" i="13"/>
  <c r="I188" i="13"/>
  <c r="O33" i="28" s="1"/>
  <c r="K261" i="13"/>
  <c r="K235" i="13"/>
  <c r="K209" i="13"/>
  <c r="K183" i="13"/>
  <c r="P28" i="28" s="1"/>
  <c r="L256" i="13"/>
  <c r="L226" i="13"/>
  <c r="L198" i="13"/>
  <c r="M269" i="13"/>
  <c r="M240" i="13"/>
  <c r="M212" i="13"/>
  <c r="M182" i="13"/>
  <c r="R27" i="28" s="1"/>
  <c r="N254" i="13"/>
  <c r="N225" i="13"/>
  <c r="N196" i="13"/>
  <c r="O268" i="13"/>
  <c r="O238" i="13"/>
  <c r="O210" i="13"/>
  <c r="O181" i="13"/>
  <c r="P252" i="13"/>
  <c r="P224" i="13"/>
  <c r="P194" i="13"/>
  <c r="Q266" i="13"/>
  <c r="Q237" i="13"/>
  <c r="Q208" i="13"/>
  <c r="Q180" i="13"/>
  <c r="R250" i="13"/>
  <c r="R222" i="13"/>
  <c r="R193" i="13"/>
  <c r="S263" i="13"/>
  <c r="S230" i="13"/>
  <c r="S199" i="13"/>
  <c r="T269" i="13"/>
  <c r="U248" i="13"/>
  <c r="T226" i="13"/>
  <c r="T202" i="13"/>
  <c r="U176" i="13"/>
  <c r="AA262" i="13"/>
  <c r="AA250" i="13"/>
  <c r="Y237" i="13"/>
  <c r="Z216" i="13"/>
  <c r="Z200" i="13"/>
  <c r="Y179" i="13"/>
  <c r="AA24" i="28" s="1"/>
  <c r="AV170" i="13"/>
  <c r="AT15" i="28" s="1"/>
  <c r="AX268" i="13"/>
  <c r="BD265" i="13"/>
  <c r="BN262" i="13"/>
  <c r="AM260" i="13"/>
  <c r="AX256" i="13"/>
  <c r="AX253" i="13"/>
  <c r="BL249" i="13"/>
  <c r="BO246" i="13"/>
  <c r="BN243" i="13"/>
  <c r="BL239" i="13"/>
  <c r="AU236" i="13"/>
  <c r="BC231" i="13"/>
  <c r="AG227" i="13"/>
  <c r="AL221" i="13"/>
  <c r="BB211" i="13"/>
  <c r="BO199" i="13"/>
  <c r="AK179" i="13"/>
  <c r="AI24" i="28" s="1"/>
  <c r="C20" i="10"/>
  <c r="C157" i="10"/>
  <c r="C21" i="10"/>
  <c r="AF272" i="13"/>
  <c r="AE272" i="13"/>
  <c r="AC272" i="13"/>
  <c r="AD272" i="13"/>
  <c r="K158" i="13"/>
  <c r="L158" i="13" s="1"/>
  <c r="M158" i="13" s="1"/>
  <c r="AG160" i="13"/>
  <c r="J49" i="13"/>
  <c r="J50" i="13"/>
  <c r="J51" i="13"/>
  <c r="J52" i="13"/>
  <c r="J53"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142" i="13"/>
  <c r="J143" i="13"/>
  <c r="J144" i="13"/>
  <c r="J145" i="13"/>
  <c r="J146" i="13"/>
  <c r="J147" i="13"/>
  <c r="J148" i="13"/>
  <c r="J48" i="13"/>
  <c r="D402" i="13"/>
  <c r="D403" i="13"/>
  <c r="D404" i="13"/>
  <c r="D405" i="13"/>
  <c r="D406" i="13"/>
  <c r="D407" i="13"/>
  <c r="D408" i="13"/>
  <c r="D409" i="13"/>
  <c r="D410" i="13"/>
  <c r="F161" i="13" l="1" a="1"/>
  <c r="F161" i="13" s="1"/>
  <c r="F162" i="13" a="1"/>
  <c r="F162" i="13" s="1"/>
  <c r="F163" i="13" a="1"/>
  <c r="F163" i="13" s="1"/>
  <c r="F165" i="13" a="1"/>
  <c r="F165" i="13" s="1"/>
  <c r="M295" i="13"/>
  <c r="BO169" i="13"/>
  <c r="E403" i="13"/>
  <c r="C159" i="10"/>
  <c r="E409" i="13"/>
  <c r="C165" i="10"/>
  <c r="E408" i="13"/>
  <c r="C164" i="10"/>
  <c r="E407" i="13"/>
  <c r="C163" i="10"/>
  <c r="E406" i="13"/>
  <c r="C162" i="10"/>
  <c r="E405" i="13"/>
  <c r="C161" i="10"/>
  <c r="E404" i="13"/>
  <c r="C160" i="10"/>
  <c r="E402" i="13"/>
  <c r="C158" i="10"/>
  <c r="E410" i="13"/>
  <c r="C166" i="10"/>
  <c r="I166" i="13"/>
  <c r="AG169" i="13"/>
  <c r="BN169" i="13"/>
  <c r="I169" i="13"/>
  <c r="R169" i="13"/>
  <c r="S169" i="13"/>
  <c r="L169" i="13"/>
  <c r="T169" i="13"/>
  <c r="N169" i="13"/>
  <c r="F169" i="13"/>
  <c r="Y169" i="13"/>
  <c r="O169" i="13"/>
  <c r="M169" i="13"/>
  <c r="U169" i="13"/>
  <c r="Q169" i="13"/>
  <c r="P169" i="13"/>
  <c r="K169" i="13"/>
  <c r="K166" i="13"/>
  <c r="F295" i="13" l="1" a="1"/>
  <c r="F295" i="13" s="1"/>
  <c r="K163" i="13" a="1"/>
  <c r="K163" i="13" s="1"/>
  <c r="K165" i="13" a="1"/>
  <c r="K165" i="13" s="1"/>
  <c r="K161" i="13" a="1"/>
  <c r="K161" i="13" s="1"/>
  <c r="K162" i="13" a="1"/>
  <c r="K162" i="13" s="1"/>
  <c r="I165" i="13" a="1"/>
  <c r="I165" i="13" s="1"/>
  <c r="I161" i="13" a="1"/>
  <c r="I161" i="13" s="1"/>
  <c r="I162" i="13" a="1"/>
  <c r="I162" i="13" s="1"/>
  <c r="I163" i="13" a="1"/>
  <c r="I163" i="13" s="1"/>
  <c r="F160" i="13"/>
  <c r="F159" i="13" s="1"/>
  <c r="L166" i="13"/>
  <c r="L161" i="13" l="1" a="1"/>
  <c r="L161" i="13" s="1"/>
  <c r="L162" i="13" a="1"/>
  <c r="L162" i="13" s="1"/>
  <c r="L163" i="13" a="1"/>
  <c r="L163" i="13" s="1"/>
  <c r="L165" i="13" a="1"/>
  <c r="L165" i="13" s="1"/>
  <c r="I160" i="13"/>
  <c r="I159" i="13" s="1"/>
  <c r="K160" i="13"/>
  <c r="K159" i="13" s="1"/>
  <c r="M166" i="13"/>
  <c r="N158"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C340" i="13"/>
  <c r="C341" i="13"/>
  <c r="C342" i="13"/>
  <c r="C343" i="13"/>
  <c r="C344" i="13"/>
  <c r="C345" i="13"/>
  <c r="C346" i="13"/>
  <c r="M161" i="13" l="1" a="1"/>
  <c r="M161" i="13" s="1"/>
  <c r="M162" i="13" a="1"/>
  <c r="M162" i="13" s="1"/>
  <c r="M163" i="13" a="1"/>
  <c r="M163" i="13" s="1"/>
  <c r="M165" i="13" a="1"/>
  <c r="M165" i="13" s="1"/>
  <c r="L160" i="13"/>
  <c r="L159" i="13" s="1"/>
  <c r="O158" i="13"/>
  <c r="N166" i="13"/>
  <c r="C420" i="13" a="1"/>
  <c r="C420" i="13" s="1"/>
  <c r="B176" i="10" s="1"/>
  <c r="C419" i="13" a="1"/>
  <c r="C419" i="13" s="1"/>
  <c r="B175" i="10" s="1"/>
  <c r="C418" i="13" a="1"/>
  <c r="C418" i="13" s="1"/>
  <c r="B174" i="10" s="1"/>
  <c r="C417" i="13" a="1"/>
  <c r="C417" i="13" s="1"/>
  <c r="B173" i="10" s="1"/>
  <c r="C416" i="13" a="1"/>
  <c r="C416" i="13" s="1"/>
  <c r="B172" i="10" s="1"/>
  <c r="C415" i="13" a="1"/>
  <c r="C415" i="13" s="1"/>
  <c r="B171" i="10" s="1"/>
  <c r="C414" i="13" a="1"/>
  <c r="C414" i="13" s="1"/>
  <c r="B170" i="10" s="1"/>
  <c r="C413" i="13" a="1"/>
  <c r="C413" i="13" s="1"/>
  <c r="B169" i="10" s="1"/>
  <c r="C412" i="13" a="1"/>
  <c r="C412" i="13" s="1"/>
  <c r="B168" i="10" s="1"/>
  <c r="C411" i="13" a="1"/>
  <c r="C411" i="13" s="1"/>
  <c r="B167" i="10" s="1"/>
  <c r="C410" i="13" a="1"/>
  <c r="C410" i="13" s="1"/>
  <c r="B166" i="10" s="1"/>
  <c r="C409" i="13" a="1"/>
  <c r="C409" i="13" s="1"/>
  <c r="B165" i="10" s="1"/>
  <c r="C408" i="13" a="1"/>
  <c r="C408" i="13" s="1"/>
  <c r="B164" i="10" s="1"/>
  <c r="C407" i="13" a="1"/>
  <c r="C407" i="13" s="1"/>
  <c r="B163" i="10" s="1"/>
  <c r="C406" i="13" a="1"/>
  <c r="C406" i="13" s="1"/>
  <c r="B162" i="10" s="1"/>
  <c r="C405" i="13" a="1"/>
  <c r="C405" i="13" s="1"/>
  <c r="B161" i="10" s="1"/>
  <c r="C404" i="13" a="1"/>
  <c r="C404" i="13" s="1"/>
  <c r="B160" i="10" s="1"/>
  <c r="C403" i="13" a="1"/>
  <c r="C403" i="13" s="1"/>
  <c r="B159" i="10" s="1"/>
  <c r="C402" i="13" a="1"/>
  <c r="C402" i="13" s="1"/>
  <c r="B158" i="10" s="1"/>
  <c r="C401" i="13" a="1"/>
  <c r="C401" i="13" s="1"/>
  <c r="B157" i="10" s="1"/>
  <c r="C27" i="10"/>
  <c r="D31" i="13"/>
  <c r="N163" i="13" l="1" a="1"/>
  <c r="N163" i="13" s="1"/>
  <c r="N165" i="13" a="1"/>
  <c r="N165" i="13" s="1"/>
  <c r="N162" i="13" a="1"/>
  <c r="N162" i="13" s="1"/>
  <c r="N161" i="13" a="1"/>
  <c r="N161" i="13" s="1"/>
  <c r="E413" i="13"/>
  <c r="C169" i="10"/>
  <c r="E420" i="13"/>
  <c r="C176" i="10"/>
  <c r="E414" i="13"/>
  <c r="C170" i="10"/>
  <c r="E417" i="13"/>
  <c r="C173" i="10"/>
  <c r="E411" i="13"/>
  <c r="C167" i="10"/>
  <c r="E415" i="13"/>
  <c r="C171" i="10"/>
  <c r="E418" i="13"/>
  <c r="C174" i="10"/>
  <c r="E412" i="13"/>
  <c r="C168" i="10"/>
  <c r="M160" i="13"/>
  <c r="M159" i="13" s="1"/>
  <c r="O166" i="13"/>
  <c r="P158" i="13"/>
  <c r="B30" i="26"/>
  <c r="B29" i="26"/>
  <c r="B27" i="26"/>
  <c r="B25" i="26"/>
  <c r="B23" i="26"/>
  <c r="B22" i="26"/>
  <c r="O165" i="13" l="1" a="1"/>
  <c r="O165" i="13" s="1"/>
  <c r="O163" i="13" a="1"/>
  <c r="O163" i="13" s="1"/>
  <c r="O162" i="13" a="1"/>
  <c r="O162" i="13" s="1"/>
  <c r="O161" i="13" a="1"/>
  <c r="O161" i="13" s="1"/>
  <c r="E416" i="13"/>
  <c r="C172" i="10"/>
  <c r="E419" i="13"/>
  <c r="C175" i="10"/>
  <c r="P166" i="13"/>
  <c r="Q158" i="13"/>
  <c r="N160" i="13"/>
  <c r="N159" i="13" s="1"/>
  <c r="D421" i="13"/>
  <c r="G16" i="28"/>
  <c r="G17" i="28"/>
  <c r="G18" i="28"/>
  <c r="G19" i="28"/>
  <c r="G20" i="28"/>
  <c r="G21" i="28"/>
  <c r="G22" i="28"/>
  <c r="G23" i="28"/>
  <c r="G24" i="28"/>
  <c r="G25" i="28"/>
  <c r="G26" i="28"/>
  <c r="G27" i="28"/>
  <c r="G28" i="28"/>
  <c r="G29" i="28"/>
  <c r="G30" i="28"/>
  <c r="G31" i="28"/>
  <c r="G32" i="28"/>
  <c r="I16" i="28"/>
  <c r="I17" i="28"/>
  <c r="I18" i="28"/>
  <c r="I19" i="28"/>
  <c r="I20" i="28"/>
  <c r="I21" i="28"/>
  <c r="I22" i="28"/>
  <c r="I23" i="28"/>
  <c r="I24" i="28"/>
  <c r="I25" i="28"/>
  <c r="I26" i="28"/>
  <c r="I27" i="28"/>
  <c r="I28" i="28"/>
  <c r="I29" i="28"/>
  <c r="I30" i="28"/>
  <c r="I31" i="28"/>
  <c r="I32" i="28"/>
  <c r="J16" i="28"/>
  <c r="J17" i="28"/>
  <c r="J18" i="28"/>
  <c r="J19" i="28"/>
  <c r="J20" i="28"/>
  <c r="J21" i="28"/>
  <c r="J22" i="28"/>
  <c r="J23" i="28"/>
  <c r="J24" i="28"/>
  <c r="J25" i="28"/>
  <c r="J26" i="28"/>
  <c r="J27" i="28"/>
  <c r="J28" i="28"/>
  <c r="J29" i="28"/>
  <c r="J30" i="28"/>
  <c r="J31" i="28"/>
  <c r="J32" i="28"/>
  <c r="J15" i="28"/>
  <c r="I15" i="28"/>
  <c r="G15" i="28"/>
  <c r="C294" i="13"/>
  <c r="C295"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384" i="13"/>
  <c r="C385" i="13"/>
  <c r="C386" i="13"/>
  <c r="C387" i="13"/>
  <c r="C388" i="13"/>
  <c r="C389" i="13"/>
  <c r="C390" i="13"/>
  <c r="C292" i="13"/>
  <c r="C293" i="13"/>
  <c r="C291" i="13"/>
  <c r="E156" i="13"/>
  <c r="G156" i="13"/>
  <c r="J156" i="13"/>
  <c r="AC156" i="13"/>
  <c r="AD156" i="13"/>
  <c r="AE156" i="13"/>
  <c r="D171" i="13"/>
  <c r="D172" i="13"/>
  <c r="D173" i="13"/>
  <c r="H4" i="28"/>
  <c r="H8" i="28" s="1"/>
  <c r="H3" i="28"/>
  <c r="P161" i="13" l="1" a="1"/>
  <c r="P161" i="13" s="1"/>
  <c r="P162" i="13" a="1"/>
  <c r="P162" i="13" s="1"/>
  <c r="P163" i="13" a="1"/>
  <c r="P163" i="13" s="1"/>
  <c r="P165" i="13" a="1"/>
  <c r="P165" i="13" s="1"/>
  <c r="E421" i="13"/>
  <c r="O160" i="13"/>
  <c r="O159" i="13" s="1"/>
  <c r="R158" i="13"/>
  <c r="Q166" i="13"/>
  <c r="C26" i="10"/>
  <c r="Q161" i="13" l="1" a="1"/>
  <c r="Q161" i="13" s="1"/>
  <c r="Q162" i="13" a="1"/>
  <c r="Q162" i="13" s="1"/>
  <c r="Q163" i="13" a="1"/>
  <c r="Q163" i="13" s="1"/>
  <c r="Q165" i="13" a="1"/>
  <c r="Q165" i="13" s="1"/>
  <c r="P160" i="13"/>
  <c r="P159" i="13" s="1"/>
  <c r="S158" i="13"/>
  <c r="R166" i="13"/>
  <c r="Z20" i="28"/>
  <c r="Z21" i="28"/>
  <c r="Z25" i="28"/>
  <c r="Z30" i="28"/>
  <c r="Z19" i="28"/>
  <c r="Z22" i="28"/>
  <c r="Z28" i="28"/>
  <c r="Z34" i="28"/>
  <c r="Z31" i="28"/>
  <c r="Z32" i="28"/>
  <c r="Z23" i="28"/>
  <c r="Z18" i="28"/>
  <c r="Z27" i="28"/>
  <c r="Z29" i="28"/>
  <c r="Y16" i="28"/>
  <c r="Y28" i="28"/>
  <c r="X24" i="28"/>
  <c r="Z33" i="28"/>
  <c r="Y18" i="28"/>
  <c r="Y30" i="28"/>
  <c r="X26" i="28"/>
  <c r="W22" i="28"/>
  <c r="W34" i="28"/>
  <c r="V18" i="28"/>
  <c r="V30" i="28"/>
  <c r="U26" i="28"/>
  <c r="Y27" i="28"/>
  <c r="X29" i="28"/>
  <c r="W27" i="28"/>
  <c r="V19" i="28"/>
  <c r="V32" i="28"/>
  <c r="U23" i="28"/>
  <c r="S24" i="28"/>
  <c r="T28" i="28"/>
  <c r="W28" i="28"/>
  <c r="V20" i="28"/>
  <c r="V33" i="28"/>
  <c r="U24" i="28"/>
  <c r="S20" i="28"/>
  <c r="T24" i="28"/>
  <c r="S33" i="28"/>
  <c r="Z16" i="28"/>
  <c r="Y29" i="28"/>
  <c r="X16" i="28"/>
  <c r="X30" i="28"/>
  <c r="Z17" i="28"/>
  <c r="Y31" i="28"/>
  <c r="X17" i="28"/>
  <c r="X31" i="28"/>
  <c r="W16" i="28"/>
  <c r="W29" i="28"/>
  <c r="V21" i="28"/>
  <c r="V34" i="28"/>
  <c r="U25" i="28"/>
  <c r="S16" i="28"/>
  <c r="T20" i="28"/>
  <c r="S29" i="28"/>
  <c r="T33" i="28"/>
  <c r="Y23" i="28"/>
  <c r="X20" i="28"/>
  <c r="W32" i="28"/>
  <c r="V17" i="28"/>
  <c r="U22" i="28"/>
  <c r="T19" i="28"/>
  <c r="S26" i="28"/>
  <c r="T31" i="28"/>
  <c r="X21" i="28"/>
  <c r="W33" i="28"/>
  <c r="V22" i="28"/>
  <c r="T26" i="28"/>
  <c r="V24" i="28"/>
  <c r="S27" i="28"/>
  <c r="Y32" i="28"/>
  <c r="X25" i="28"/>
  <c r="S22" i="28"/>
  <c r="S15" i="28"/>
  <c r="T15" i="28"/>
  <c r="Y24" i="28"/>
  <c r="W17" i="28"/>
  <c r="U27" i="28"/>
  <c r="W20" i="28"/>
  <c r="U30" i="28"/>
  <c r="T27" i="28"/>
  <c r="Y33" i="28"/>
  <c r="X27" i="28"/>
  <c r="U31" i="28"/>
  <c r="T34" i="28"/>
  <c r="Z24" i="28"/>
  <c r="Y25" i="28"/>
  <c r="X22" i="28"/>
  <c r="W18" i="28"/>
  <c r="V23" i="28"/>
  <c r="U28" i="28"/>
  <c r="S21" i="28"/>
  <c r="S32" i="28"/>
  <c r="Y26" i="28"/>
  <c r="X23" i="28"/>
  <c r="W19" i="28"/>
  <c r="U29" i="28"/>
  <c r="T21" i="28"/>
  <c r="T32" i="28"/>
  <c r="V25" i="28"/>
  <c r="T16" i="28"/>
  <c r="S34" i="28"/>
  <c r="W21" i="28"/>
  <c r="V26" i="28"/>
  <c r="T22" i="28"/>
  <c r="X18" i="28"/>
  <c r="W30" i="28"/>
  <c r="S25" i="28"/>
  <c r="X19" i="28"/>
  <c r="X33" i="28"/>
  <c r="S30" i="28"/>
  <c r="Y21" i="28"/>
  <c r="Z26" i="28"/>
  <c r="V16" i="28"/>
  <c r="S19" i="28"/>
  <c r="Y34" i="28"/>
  <c r="W24" i="28"/>
  <c r="V28" i="28"/>
  <c r="U33" i="28"/>
  <c r="S23" i="28"/>
  <c r="U34" i="28"/>
  <c r="T23" i="28"/>
  <c r="V31" i="28"/>
  <c r="W31" i="28"/>
  <c r="T25" i="28"/>
  <c r="U18" i="28"/>
  <c r="Y20" i="28"/>
  <c r="X34" i="28"/>
  <c r="T30" i="28"/>
  <c r="W23" i="28"/>
  <c r="W25" i="28"/>
  <c r="W26" i="28"/>
  <c r="X28" i="28"/>
  <c r="U16" i="28"/>
  <c r="S17" i="28"/>
  <c r="S28" i="28"/>
  <c r="Y17" i="28"/>
  <c r="X32" i="28"/>
  <c r="U17" i="28"/>
  <c r="T17" i="28"/>
  <c r="T29" i="28"/>
  <c r="Y19" i="28"/>
  <c r="S18" i="28"/>
  <c r="U19" i="28"/>
  <c r="T18" i="28"/>
  <c r="W15" i="28"/>
  <c r="U20" i="28"/>
  <c r="Y22" i="28"/>
  <c r="U21" i="28"/>
  <c r="S31" i="28"/>
  <c r="V27" i="28"/>
  <c r="U32" i="28"/>
  <c r="V29" i="28"/>
  <c r="D14" i="9"/>
  <c r="AN10" i="1"/>
  <c r="R163" i="13" l="1" a="1"/>
  <c r="R163" i="13" s="1"/>
  <c r="R162" i="13" a="1"/>
  <c r="R162" i="13" s="1"/>
  <c r="R161" i="13" a="1"/>
  <c r="R161" i="13" s="1"/>
  <c r="R165" i="13" a="1"/>
  <c r="R165" i="13" s="1"/>
  <c r="M291" i="13"/>
  <c r="W272" i="13"/>
  <c r="AB169" i="13"/>
  <c r="Z169" i="13"/>
  <c r="AA169" i="13"/>
  <c r="Q160" i="13"/>
  <c r="Q159" i="13" s="1"/>
  <c r="T158" i="13"/>
  <c r="S166" i="13"/>
  <c r="M365" i="13"/>
  <c r="F365" i="13" s="1" a="1"/>
  <c r="F365" i="13" s="1"/>
  <c r="M354" i="13"/>
  <c r="F354" i="13" s="1" a="1"/>
  <c r="F354" i="13" s="1"/>
  <c r="M381" i="13"/>
  <c r="F381" i="13" s="1" a="1"/>
  <c r="F381" i="13" s="1"/>
  <c r="N347" i="13"/>
  <c r="O347" i="13"/>
  <c r="M347" i="13"/>
  <c r="F347" i="13" s="1" a="1"/>
  <c r="F347" i="13" s="1"/>
  <c r="M389" i="13"/>
  <c r="F389" i="13" s="1" a="1"/>
  <c r="F389" i="13" s="1"/>
  <c r="M366" i="13"/>
  <c r="F366" i="13" s="1" a="1"/>
  <c r="F366" i="13" s="1"/>
  <c r="M348" i="13"/>
  <c r="F348" i="13" s="1" a="1"/>
  <c r="F348" i="13" s="1"/>
  <c r="M387" i="13"/>
  <c r="F387" i="13" s="1" a="1"/>
  <c r="F387" i="13" s="1"/>
  <c r="M356" i="13"/>
  <c r="F356" i="13" s="1" a="1"/>
  <c r="F356" i="13" s="1"/>
  <c r="M383" i="13"/>
  <c r="F383" i="13" s="1" a="1"/>
  <c r="F383" i="13" s="1"/>
  <c r="M390" i="13"/>
  <c r="F390" i="13" s="1" a="1"/>
  <c r="F390" i="13" s="1"/>
  <c r="M375" i="13"/>
  <c r="F375" i="13" s="1" a="1"/>
  <c r="F375" i="13" s="1"/>
  <c r="M370" i="13"/>
  <c r="F370" i="13" s="1" a="1"/>
  <c r="F370" i="13" s="1"/>
  <c r="M372" i="13"/>
  <c r="F372" i="13" s="1" a="1"/>
  <c r="F372" i="13" s="1"/>
  <c r="M363" i="13"/>
  <c r="F363" i="13" s="1" a="1"/>
  <c r="F363" i="13" s="1"/>
  <c r="M371" i="13"/>
  <c r="F371" i="13" s="1" a="1"/>
  <c r="F371" i="13" s="1"/>
  <c r="M388" i="13"/>
  <c r="F388" i="13" s="1" a="1"/>
  <c r="F388" i="13" s="1"/>
  <c r="M376" i="13"/>
  <c r="F376" i="13" s="1" a="1"/>
  <c r="F376" i="13" s="1"/>
  <c r="M357" i="13"/>
  <c r="F357" i="13" s="1" a="1"/>
  <c r="F357" i="13" s="1"/>
  <c r="M351" i="13"/>
  <c r="F351" i="13" s="1" a="1"/>
  <c r="F351" i="13" s="1"/>
  <c r="M386" i="13"/>
  <c r="F386" i="13" s="1" a="1"/>
  <c r="F386" i="13" s="1"/>
  <c r="M353" i="13"/>
  <c r="F353" i="13" s="1" a="1"/>
  <c r="F353" i="13" s="1"/>
  <c r="M377" i="13"/>
  <c r="F377" i="13" s="1" a="1"/>
  <c r="F377" i="13" s="1"/>
  <c r="M358" i="13"/>
  <c r="F358" i="13" s="1" a="1"/>
  <c r="F358" i="13" s="1"/>
  <c r="M374" i="13"/>
  <c r="F374" i="13" s="1" a="1"/>
  <c r="F374" i="13" s="1"/>
  <c r="M368" i="13"/>
  <c r="F368" i="13" s="1" a="1"/>
  <c r="F368" i="13" s="1"/>
  <c r="M359" i="13"/>
  <c r="F359" i="13" s="1" a="1"/>
  <c r="F359" i="13" s="1"/>
  <c r="M362" i="13"/>
  <c r="F362" i="13" s="1" a="1"/>
  <c r="F362" i="13" s="1"/>
  <c r="M355" i="13"/>
  <c r="F355" i="13" s="1" a="1"/>
  <c r="F355" i="13" s="1"/>
  <c r="M382" i="13"/>
  <c r="F382" i="13" s="1" a="1"/>
  <c r="F382" i="13" s="1"/>
  <c r="M378" i="13"/>
  <c r="F378" i="13" s="1" a="1"/>
  <c r="F378" i="13" s="1"/>
  <c r="M350" i="13"/>
  <c r="F350" i="13" s="1" a="1"/>
  <c r="F350" i="13" s="1"/>
  <c r="M385" i="13"/>
  <c r="F385" i="13" s="1" a="1"/>
  <c r="F385" i="13" s="1"/>
  <c r="M369" i="13"/>
  <c r="F369" i="13" s="1" a="1"/>
  <c r="F369" i="13" s="1"/>
  <c r="M360" i="13"/>
  <c r="F360" i="13" s="1" a="1"/>
  <c r="F360" i="13" s="1"/>
  <c r="M373" i="13"/>
  <c r="F373" i="13" s="1" a="1"/>
  <c r="F373" i="13" s="1"/>
  <c r="M379" i="13"/>
  <c r="F379" i="13" s="1" a="1"/>
  <c r="F379" i="13" s="1"/>
  <c r="M361" i="13"/>
  <c r="F361" i="13" s="1" a="1"/>
  <c r="F361" i="13" s="1"/>
  <c r="M384" i="13"/>
  <c r="F384" i="13" s="1" a="1"/>
  <c r="F384" i="13" s="1"/>
  <c r="M364" i="13"/>
  <c r="F364" i="13" s="1" a="1"/>
  <c r="F364" i="13" s="1"/>
  <c r="M349" i="13"/>
  <c r="F349" i="13" s="1" a="1"/>
  <c r="F349" i="13" s="1"/>
  <c r="M367" i="13"/>
  <c r="F367" i="13" s="1" a="1"/>
  <c r="F367" i="13" s="1"/>
  <c r="M352" i="13"/>
  <c r="F352" i="13" s="1" a="1"/>
  <c r="F352" i="13" s="1"/>
  <c r="M380" i="13"/>
  <c r="F380" i="13" s="1" a="1"/>
  <c r="F380" i="13" s="1"/>
  <c r="O385" i="13"/>
  <c r="N385" i="13"/>
  <c r="AB142" i="13"/>
  <c r="N303" i="13"/>
  <c r="M303" i="13"/>
  <c r="F303" i="13" s="1" a="1"/>
  <c r="F303" i="13" s="1"/>
  <c r="O371" i="13"/>
  <c r="N371" i="13"/>
  <c r="AB128" i="13"/>
  <c r="N349" i="13"/>
  <c r="O349" i="13"/>
  <c r="AB106" i="13"/>
  <c r="N304" i="13"/>
  <c r="M304" i="13"/>
  <c r="F304" i="13" s="1" a="1"/>
  <c r="F304" i="13" s="1"/>
  <c r="BG169" i="13"/>
  <c r="O378" i="13"/>
  <c r="N378" i="13"/>
  <c r="AB135" i="13"/>
  <c r="N342" i="13"/>
  <c r="M342" i="13"/>
  <c r="F342" i="13" s="1" a="1"/>
  <c r="F342" i="13" s="1"/>
  <c r="AB99" i="13"/>
  <c r="N361" i="13"/>
  <c r="O361" i="13"/>
  <c r="AB118" i="13"/>
  <c r="X15" i="28"/>
  <c r="BM169" i="13"/>
  <c r="N319" i="13"/>
  <c r="M319" i="13"/>
  <c r="F319" i="13" s="1" a="1"/>
  <c r="F319" i="13" s="1"/>
  <c r="U15" i="28"/>
  <c r="BJ169" i="13"/>
  <c r="N340" i="13"/>
  <c r="M340" i="13"/>
  <c r="F340" i="13" s="1" a="1"/>
  <c r="F340" i="13" s="1"/>
  <c r="M333" i="13"/>
  <c r="F333" i="13" s="1" a="1"/>
  <c r="F333" i="13" s="1"/>
  <c r="N333" i="13"/>
  <c r="N348" i="13"/>
  <c r="O348" i="13"/>
  <c r="AB105" i="13"/>
  <c r="N306" i="13"/>
  <c r="M306" i="13"/>
  <c r="F306" i="13" s="1" a="1"/>
  <c r="F306" i="13" s="1"/>
  <c r="BL169" i="13"/>
  <c r="N366" i="13"/>
  <c r="O366" i="13"/>
  <c r="AB123" i="13"/>
  <c r="BK169" i="13"/>
  <c r="N323" i="13"/>
  <c r="M323" i="13"/>
  <c r="F323" i="13" s="1" a="1"/>
  <c r="F323" i="13" s="1"/>
  <c r="O365" i="13"/>
  <c r="N365" i="13"/>
  <c r="AB122" i="13"/>
  <c r="V15" i="28"/>
  <c r="N312" i="13"/>
  <c r="M312" i="13"/>
  <c r="F312" i="13" s="1" a="1"/>
  <c r="F312" i="13" s="1"/>
  <c r="N350" i="13"/>
  <c r="O350" i="13"/>
  <c r="AB107" i="13"/>
  <c r="M307" i="13"/>
  <c r="F307" i="13" s="1" a="1"/>
  <c r="F307" i="13" s="1"/>
  <c r="N307" i="13"/>
  <c r="O354" i="13"/>
  <c r="N354" i="13"/>
  <c r="AB111" i="13"/>
  <c r="O377" i="13"/>
  <c r="N377" i="13"/>
  <c r="AB134" i="13"/>
  <c r="M331" i="13"/>
  <c r="F331" i="13" s="1" a="1"/>
  <c r="F331" i="13" s="1"/>
  <c r="N331" i="13"/>
  <c r="AB104" i="13"/>
  <c r="N358" i="13"/>
  <c r="O358" i="13"/>
  <c r="AB115" i="13"/>
  <c r="M316" i="13"/>
  <c r="F316" i="13" s="1" a="1"/>
  <c r="F316" i="13" s="1"/>
  <c r="N316" i="13"/>
  <c r="N315" i="13"/>
  <c r="M315" i="13"/>
  <c r="F315" i="13" s="1" a="1"/>
  <c r="F315" i="13" s="1"/>
  <c r="O390" i="13"/>
  <c r="N390" i="13"/>
  <c r="AB147" i="13"/>
  <c r="M327" i="13"/>
  <c r="F327" i="13" s="1" a="1"/>
  <c r="F327" i="13" s="1"/>
  <c r="N327" i="13"/>
  <c r="N368" i="13"/>
  <c r="O368" i="13"/>
  <c r="AB125" i="13"/>
  <c r="N336" i="13"/>
  <c r="M336" i="13"/>
  <c r="F336" i="13" s="1" a="1"/>
  <c r="F336" i="13" s="1"/>
  <c r="O356" i="13"/>
  <c r="N356" i="13"/>
  <c r="AB113" i="13"/>
  <c r="N324" i="13"/>
  <c r="M324" i="13"/>
  <c r="F324" i="13" s="1" a="1"/>
  <c r="F324" i="13" s="1"/>
  <c r="M309" i="13"/>
  <c r="F309" i="13" s="1" a="1"/>
  <c r="F309" i="13" s="1"/>
  <c r="N309" i="13"/>
  <c r="N360" i="13"/>
  <c r="O360" i="13"/>
  <c r="AB117" i="13"/>
  <c r="N293" i="13"/>
  <c r="M293" i="13"/>
  <c r="F293" i="13" s="1" a="1"/>
  <c r="F293" i="13" s="1"/>
  <c r="M343" i="13"/>
  <c r="F343" i="13" s="1" a="1"/>
  <c r="F343" i="13" s="1"/>
  <c r="N343" i="13"/>
  <c r="AB100" i="13"/>
  <c r="N296" i="13"/>
  <c r="M296" i="13"/>
  <c r="N387" i="13"/>
  <c r="O387" i="13"/>
  <c r="AB144" i="13"/>
  <c r="N382" i="13"/>
  <c r="O382" i="13"/>
  <c r="AB139" i="13"/>
  <c r="N381" i="13"/>
  <c r="O381" i="13"/>
  <c r="AB138" i="13"/>
  <c r="N325" i="13"/>
  <c r="M325" i="13"/>
  <c r="F325" i="13" s="1" a="1"/>
  <c r="F325" i="13" s="1"/>
  <c r="N362" i="13"/>
  <c r="O362" i="13"/>
  <c r="AB119" i="13"/>
  <c r="M335" i="13"/>
  <c r="F335" i="13" s="1" a="1"/>
  <c r="F335" i="13" s="1"/>
  <c r="N335" i="13"/>
  <c r="N291" i="13"/>
  <c r="M321" i="13"/>
  <c r="F321" i="13" s="1" a="1"/>
  <c r="F321" i="13" s="1"/>
  <c r="N321" i="13"/>
  <c r="N370" i="13"/>
  <c r="O370" i="13"/>
  <c r="AB127" i="13"/>
  <c r="N339" i="13"/>
  <c r="M339" i="13"/>
  <c r="F339" i="13" s="1" a="1"/>
  <c r="F339" i="13" s="1"/>
  <c r="N338" i="13"/>
  <c r="M338" i="13"/>
  <c r="F338" i="13" s="1" a="1"/>
  <c r="F338" i="13" s="1"/>
  <c r="N317" i="13"/>
  <c r="M317" i="13"/>
  <c r="F317" i="13" s="1" a="1"/>
  <c r="F317" i="13" s="1"/>
  <c r="M328" i="13"/>
  <c r="F328" i="13" s="1" a="1"/>
  <c r="F328" i="13" s="1"/>
  <c r="N328" i="13"/>
  <c r="M308" i="13"/>
  <c r="F308" i="13" s="1" a="1"/>
  <c r="F308" i="13" s="1"/>
  <c r="N308" i="13"/>
  <c r="Z15" i="28"/>
  <c r="N292" i="13"/>
  <c r="M292" i="13"/>
  <c r="F292" i="13" s="1" a="1"/>
  <c r="F292" i="13" s="1"/>
  <c r="O352" i="13"/>
  <c r="N352" i="13"/>
  <c r="AB109" i="13"/>
  <c r="O351" i="13"/>
  <c r="N351" i="13"/>
  <c r="AB108" i="13"/>
  <c r="N367" i="13"/>
  <c r="O367" i="13"/>
  <c r="AB124" i="13"/>
  <c r="O388" i="13"/>
  <c r="N388" i="13"/>
  <c r="AB145" i="13"/>
  <c r="N295" i="13"/>
  <c r="M320" i="13"/>
  <c r="F320" i="13" s="1" a="1"/>
  <c r="F320" i="13" s="1"/>
  <c r="N320" i="13"/>
  <c r="N313" i="13"/>
  <c r="M313" i="13"/>
  <c r="F313" i="13" s="1" a="1"/>
  <c r="F313" i="13" s="1"/>
  <c r="M344" i="13"/>
  <c r="F344" i="13" s="1" a="1"/>
  <c r="F344" i="13" s="1"/>
  <c r="N344" i="13"/>
  <c r="AB101" i="13"/>
  <c r="Y15" i="28"/>
  <c r="O384" i="13"/>
  <c r="N384" i="13"/>
  <c r="AB141" i="13"/>
  <c r="M322" i="13"/>
  <c r="F322" i="13" s="1" a="1"/>
  <c r="F322" i="13" s="1"/>
  <c r="N322" i="13"/>
  <c r="M346" i="13"/>
  <c r="F346" i="13" s="1" a="1"/>
  <c r="F346" i="13" s="1"/>
  <c r="N346" i="13"/>
  <c r="AB103" i="13"/>
  <c r="N318" i="13"/>
  <c r="M318" i="13"/>
  <c r="F318" i="13" s="1" a="1"/>
  <c r="F318" i="13" s="1"/>
  <c r="N326" i="13"/>
  <c r="M326" i="13"/>
  <c r="F326" i="13" s="1" a="1"/>
  <c r="F326" i="13" s="1"/>
  <c r="BD169" i="13"/>
  <c r="M334" i="13"/>
  <c r="F334" i="13" s="1" a="1"/>
  <c r="F334" i="13" s="1"/>
  <c r="N334" i="13"/>
  <c r="BE169" i="13"/>
  <c r="N329" i="13"/>
  <c r="M329" i="13"/>
  <c r="F329" i="13" s="1" a="1"/>
  <c r="F329" i="13" s="1"/>
  <c r="BF169" i="13"/>
  <c r="BH169" i="13"/>
  <c r="O372" i="13"/>
  <c r="N372" i="13"/>
  <c r="AB129" i="13"/>
  <c r="M310" i="13"/>
  <c r="F310" i="13" s="1" a="1"/>
  <c r="F310" i="13" s="1"/>
  <c r="N310" i="13"/>
  <c r="O369" i="13"/>
  <c r="N369" i="13"/>
  <c r="AB126" i="13"/>
  <c r="O353" i="13"/>
  <c r="N353" i="13"/>
  <c r="AB110" i="13"/>
  <c r="N373" i="13"/>
  <c r="O373" i="13"/>
  <c r="AB130" i="13"/>
  <c r="N380" i="13"/>
  <c r="O380" i="13"/>
  <c r="AB137" i="13"/>
  <c r="N314" i="13"/>
  <c r="M314" i="13"/>
  <c r="F314" i="13" s="1" a="1"/>
  <c r="F314" i="13" s="1"/>
  <c r="M294" i="13"/>
  <c r="N294" i="13"/>
  <c r="N383" i="13"/>
  <c r="O383" i="13"/>
  <c r="AB140" i="13"/>
  <c r="O355" i="13"/>
  <c r="N355" i="13"/>
  <c r="AB112" i="13"/>
  <c r="N341" i="13"/>
  <c r="M341" i="13"/>
  <c r="F341" i="13" s="1" a="1"/>
  <c r="F341" i="13" s="1"/>
  <c r="M302" i="13"/>
  <c r="F302" i="13" s="1" a="1"/>
  <c r="F302" i="13" s="1"/>
  <c r="N302" i="13"/>
  <c r="N364" i="13"/>
  <c r="O364" i="13"/>
  <c r="AB121" i="13"/>
  <c r="N363" i="13"/>
  <c r="O363" i="13"/>
  <c r="AB120" i="13"/>
  <c r="N299" i="13"/>
  <c r="M299" i="13"/>
  <c r="F299" i="13" s="1" a="1"/>
  <c r="F299" i="13" s="1"/>
  <c r="O389" i="13"/>
  <c r="N389" i="13"/>
  <c r="AB146" i="13"/>
  <c r="O359" i="13"/>
  <c r="N359" i="13"/>
  <c r="AB116" i="13"/>
  <c r="M298" i="13"/>
  <c r="F298" i="13" s="1" a="1"/>
  <c r="F298" i="13" s="1"/>
  <c r="N298" i="13"/>
  <c r="N311" i="13"/>
  <c r="M311" i="13"/>
  <c r="F311" i="13" s="1" a="1"/>
  <c r="F311" i="13" s="1"/>
  <c r="M301" i="13"/>
  <c r="F301" i="13" s="1" a="1"/>
  <c r="F301" i="13" s="1"/>
  <c r="N301" i="13"/>
  <c r="M330" i="13"/>
  <c r="F330" i="13" s="1" a="1"/>
  <c r="F330" i="13" s="1"/>
  <c r="N330" i="13"/>
  <c r="BI169" i="13"/>
  <c r="O376" i="13"/>
  <c r="N376" i="13"/>
  <c r="AB133" i="13"/>
  <c r="O375" i="13"/>
  <c r="N375" i="13"/>
  <c r="AB132" i="13"/>
  <c r="N386" i="13"/>
  <c r="O386" i="13"/>
  <c r="AB143" i="13"/>
  <c r="N345" i="13"/>
  <c r="M345" i="13"/>
  <c r="F345" i="13" s="1" a="1"/>
  <c r="F345" i="13" s="1"/>
  <c r="AB102" i="13"/>
  <c r="N305" i="13"/>
  <c r="M305" i="13"/>
  <c r="F305" i="13" s="1" a="1"/>
  <c r="F305" i="13" s="1"/>
  <c r="N337" i="13"/>
  <c r="M337" i="13"/>
  <c r="F337" i="13" s="1" a="1"/>
  <c r="F337" i="13" s="1"/>
  <c r="N300" i="13"/>
  <c r="M300" i="13"/>
  <c r="F300" i="13" s="1" a="1"/>
  <c r="F300" i="13" s="1"/>
  <c r="N297" i="13"/>
  <c r="M297" i="13"/>
  <c r="F297" i="13" s="1" a="1"/>
  <c r="F297" i="13" s="1"/>
  <c r="N379" i="13"/>
  <c r="O379" i="13"/>
  <c r="AB136" i="13"/>
  <c r="O357" i="13"/>
  <c r="N357" i="13"/>
  <c r="AB114" i="13"/>
  <c r="N374" i="13"/>
  <c r="O374" i="13"/>
  <c r="AB131" i="13"/>
  <c r="N332" i="13"/>
  <c r="M332" i="13"/>
  <c r="F332" i="13" s="1" a="1"/>
  <c r="F332" i="13" s="1"/>
  <c r="F291" i="13" l="1" a="1"/>
  <c r="F291" i="13" s="1"/>
  <c r="C111" i="10"/>
  <c r="F296" i="13" a="1"/>
  <c r="F296" i="13" s="1"/>
  <c r="C109" i="10"/>
  <c r="C103" i="10"/>
  <c r="F294" i="13" a="1"/>
  <c r="F294" i="13" s="1"/>
  <c r="S165" i="13" a="1"/>
  <c r="S165" i="13" s="1"/>
  <c r="S161" i="13" a="1"/>
  <c r="S161" i="13" s="1"/>
  <c r="S162" i="13" a="1"/>
  <c r="S162" i="13" s="1"/>
  <c r="S163" i="13" a="1"/>
  <c r="S163"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9" i="13"/>
  <c r="AA272" i="13" s="1"/>
  <c r="D306" i="13"/>
  <c r="D377" i="13"/>
  <c r="D373" i="13"/>
  <c r="D329" i="13"/>
  <c r="D318" i="13"/>
  <c r="D320" i="13"/>
  <c r="D308" i="13"/>
  <c r="D343" i="13"/>
  <c r="D309" i="13"/>
  <c r="D319" i="13"/>
  <c r="D303" i="13"/>
  <c r="D360" i="13"/>
  <c r="D386" i="13"/>
  <c r="D348" i="13"/>
  <c r="D384" i="13"/>
  <c r="D325" i="13"/>
  <c r="D358" i="13"/>
  <c r="D331" i="13"/>
  <c r="D356" i="13"/>
  <c r="D327" i="13"/>
  <c r="D353" i="13"/>
  <c r="D330" i="13"/>
  <c r="D302" i="13"/>
  <c r="D321" i="13"/>
  <c r="D324" i="13"/>
  <c r="D369" i="13"/>
  <c r="D351" i="13"/>
  <c r="D366" i="13"/>
  <c r="D322" i="13"/>
  <c r="D379" i="13"/>
  <c r="D387" i="13"/>
  <c r="D345" i="13"/>
  <c r="D297" i="13"/>
  <c r="D341" i="13"/>
  <c r="D310" i="13"/>
  <c r="D328" i="13"/>
  <c r="D385" i="13"/>
  <c r="D357" i="13"/>
  <c r="D389" i="13"/>
  <c r="D342" i="13"/>
  <c r="D300" i="13"/>
  <c r="D295" i="13"/>
  <c r="D333" i="13"/>
  <c r="D304" i="13"/>
  <c r="D378" i="13"/>
  <c r="D388" i="13"/>
  <c r="D390" i="13"/>
  <c r="D323" i="13"/>
  <c r="D299" i="13"/>
  <c r="D334" i="13"/>
  <c r="D346" i="13"/>
  <c r="D344" i="13"/>
  <c r="D336" i="13"/>
  <c r="D316" i="13"/>
  <c r="D307" i="13"/>
  <c r="D340" i="13"/>
  <c r="D352" i="13"/>
  <c r="D355" i="13"/>
  <c r="D363" i="13"/>
  <c r="D381" i="13"/>
  <c r="D383" i="13"/>
  <c r="D326" i="13"/>
  <c r="D317" i="13"/>
  <c r="D350" i="13"/>
  <c r="D371" i="13"/>
  <c r="D339" i="13"/>
  <c r="D335" i="13"/>
  <c r="D367" i="13"/>
  <c r="D362" i="13"/>
  <c r="D372" i="13"/>
  <c r="D354" i="13"/>
  <c r="D312" i="13"/>
  <c r="D305" i="13"/>
  <c r="D301" i="13"/>
  <c r="D315" i="13"/>
  <c r="D376" i="13"/>
  <c r="D332" i="13"/>
  <c r="D311" i="13"/>
  <c r="D338" i="13"/>
  <c r="D382" i="13"/>
  <c r="D337" i="13"/>
  <c r="D313" i="13"/>
  <c r="D349" i="13"/>
  <c r="D359" i="13"/>
  <c r="D370" i="13"/>
  <c r="D365" i="13"/>
  <c r="D374" i="13"/>
  <c r="D361" i="13"/>
  <c r="D314" i="13"/>
  <c r="D347" i="13"/>
  <c r="D380" i="13"/>
  <c r="D298" i="13"/>
  <c r="D364" i="13"/>
  <c r="D368" i="13"/>
  <c r="D375" i="13"/>
  <c r="F408" i="13"/>
  <c r="F411" i="13"/>
  <c r="F420" i="13"/>
  <c r="F401" i="13"/>
  <c r="F417" i="13"/>
  <c r="F415" i="13"/>
  <c r="F418" i="13"/>
  <c r="F409" i="13"/>
  <c r="F413" i="13"/>
  <c r="F407" i="13"/>
  <c r="F403" i="13"/>
  <c r="F410" i="13"/>
  <c r="F404" i="13"/>
  <c r="F412" i="13"/>
  <c r="F405" i="13"/>
  <c r="F414" i="13"/>
  <c r="F419" i="13"/>
  <c r="F416" i="13"/>
  <c r="F406" i="13"/>
  <c r="F402" i="13"/>
  <c r="V272" i="13"/>
  <c r="R160" i="13"/>
  <c r="R159" i="13" s="1"/>
  <c r="U158" i="13"/>
  <c r="T166" i="13"/>
  <c r="BO15" i="28"/>
  <c r="AG272" i="13" l="1"/>
  <c r="AB272" i="13"/>
  <c r="T162" i="13" a="1"/>
  <c r="T162" i="13" s="1"/>
  <c r="T165" i="13" a="1"/>
  <c r="T165" i="13" s="1"/>
  <c r="T161" i="13" a="1"/>
  <c r="T161" i="13" s="1"/>
  <c r="T163" i="13" a="1"/>
  <c r="T163" i="13" s="1"/>
  <c r="C91" i="10"/>
  <c r="D103" i="10"/>
  <c r="D99" i="10"/>
  <c r="D100" i="10"/>
  <c r="D101" i="10"/>
  <c r="D102" i="10"/>
  <c r="D98" i="10"/>
  <c r="Z272" i="13"/>
  <c r="F421" i="13"/>
  <c r="B32" i="26"/>
  <c r="P272" i="13"/>
  <c r="Q272" i="13"/>
  <c r="U272" i="13"/>
  <c r="F272" i="13"/>
  <c r="R272" i="13"/>
  <c r="S272" i="13"/>
  <c r="I272" i="13"/>
  <c r="T272" i="13"/>
  <c r="K272" i="13"/>
  <c r="E272" i="13"/>
  <c r="O272" i="13"/>
  <c r="L272" i="13"/>
  <c r="M272" i="13"/>
  <c r="Y272" i="13"/>
  <c r="N272" i="13"/>
  <c r="Y158" i="13"/>
  <c r="U166" i="13"/>
  <c r="S160" i="13"/>
  <c r="S159"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62" i="13" l="1" a="1"/>
  <c r="U162" i="13" s="1"/>
  <c r="U161" i="13" a="1"/>
  <c r="U161" i="13" s="1"/>
  <c r="U165" i="13" a="1"/>
  <c r="U165" i="13" s="1"/>
  <c r="U163" i="13" a="1"/>
  <c r="U163" i="13" s="1"/>
  <c r="Y166" i="13"/>
  <c r="Z158" i="13"/>
  <c r="T160" i="13"/>
  <c r="T159" i="13" s="1"/>
  <c r="C59" i="10"/>
  <c r="Y162" i="13" l="1" a="1"/>
  <c r="Y162" i="13" s="1"/>
  <c r="Y163" i="13" a="1"/>
  <c r="Y163" i="13" s="1"/>
  <c r="Y165" i="13" a="1"/>
  <c r="Y165" i="13" s="1"/>
  <c r="Y161" i="13" a="1"/>
  <c r="Y161" i="13" s="1"/>
  <c r="AA158" i="13"/>
  <c r="Z166" i="13"/>
  <c r="U160" i="13"/>
  <c r="U159" i="13" s="1"/>
  <c r="H21" i="28"/>
  <c r="H22" i="28"/>
  <c r="H23" i="28"/>
  <c r="H24" i="28"/>
  <c r="H25" i="28"/>
  <c r="H26" i="28"/>
  <c r="H27" i="28"/>
  <c r="H28" i="28"/>
  <c r="H29" i="28"/>
  <c r="H30" i="28"/>
  <c r="H31" i="28"/>
  <c r="H32" i="28"/>
  <c r="H15" i="28"/>
  <c r="H16" i="28"/>
  <c r="H17" i="28"/>
  <c r="H18" i="28"/>
  <c r="H19" i="28"/>
  <c r="Z162" i="13" l="1" a="1"/>
  <c r="Z162" i="13" s="1"/>
  <c r="Z163" i="13" a="1"/>
  <c r="Z163" i="13" s="1"/>
  <c r="Z165" i="13" a="1"/>
  <c r="Z165" i="13" s="1"/>
  <c r="Z161" i="13" a="1"/>
  <c r="Z161" i="13" s="1"/>
  <c r="Y160" i="13"/>
  <c r="Y159" i="13" s="1"/>
  <c r="AB158" i="13"/>
  <c r="AG158" i="13" s="1"/>
  <c r="AA166" i="13"/>
  <c r="C88" i="31"/>
  <c r="AA161" i="13" l="1" a="1"/>
  <c r="AA161" i="13" s="1"/>
  <c r="AA165" i="13" a="1"/>
  <c r="AA165" i="13" s="1"/>
  <c r="AA162" i="13" a="1"/>
  <c r="AA162" i="13" s="1"/>
  <c r="AA163" i="13" a="1"/>
  <c r="AA163" i="13" s="1"/>
  <c r="AB166" i="13"/>
  <c r="AH158" i="13"/>
  <c r="Z160" i="13"/>
  <c r="Z159" i="13" s="1"/>
  <c r="B26" i="26"/>
  <c r="B24" i="26"/>
  <c r="B28" i="26"/>
  <c r="AB161" i="13" l="1" a="1"/>
  <c r="AB161" i="13" s="1"/>
  <c r="AB162" i="13" a="1"/>
  <c r="AB162" i="13" s="1"/>
  <c r="AB163" i="13" a="1"/>
  <c r="AB163" i="13" s="1"/>
  <c r="AB165" i="13" a="1"/>
  <c r="AB165" i="13" s="1"/>
  <c r="AA160" i="13"/>
  <c r="AA159" i="13" s="1"/>
  <c r="BN32" i="28"/>
  <c r="BO32" i="28" s="1"/>
  <c r="D32" i="28"/>
  <c r="C32" i="28"/>
  <c r="BN31" i="28"/>
  <c r="BO31" i="28" s="1"/>
  <c r="BU31" i="28" s="1"/>
  <c r="D31" i="28"/>
  <c r="C31" i="28"/>
  <c r="BN30" i="28"/>
  <c r="BO30" i="28" s="1"/>
  <c r="BU30" i="28" s="1"/>
  <c r="D30" i="28"/>
  <c r="C30" i="28"/>
  <c r="BN29" i="28"/>
  <c r="BO29" i="28" s="1"/>
  <c r="D29" i="28"/>
  <c r="C29" i="28"/>
  <c r="BN28" i="28"/>
  <c r="BO28" i="28" s="1"/>
  <c r="D28" i="28"/>
  <c r="C28" i="28"/>
  <c r="BN27" i="28"/>
  <c r="BO27" i="28" s="1"/>
  <c r="D27" i="28"/>
  <c r="C27" i="28"/>
  <c r="BN26" i="28"/>
  <c r="BO26" i="28" s="1"/>
  <c r="D26" i="28"/>
  <c r="C26" i="28"/>
  <c r="BN25" i="28"/>
  <c r="BO25" i="28" s="1"/>
  <c r="D25" i="28"/>
  <c r="C25" i="28"/>
  <c r="BN24" i="28"/>
  <c r="BO24" i="28" s="1"/>
  <c r="BU24" i="28" s="1"/>
  <c r="D24" i="28"/>
  <c r="C24" i="28"/>
  <c r="BN23" i="28"/>
  <c r="BO23" i="28" s="1"/>
  <c r="D23" i="28"/>
  <c r="C23" i="28"/>
  <c r="BN22" i="28"/>
  <c r="BO22" i="28" s="1"/>
  <c r="D22" i="28"/>
  <c r="C22" i="28"/>
  <c r="BN21" i="28"/>
  <c r="BO21" i="28" s="1"/>
  <c r="D21" i="28"/>
  <c r="C21" i="28"/>
  <c r="BN20" i="28"/>
  <c r="BO20" i="28" s="1"/>
  <c r="BU20" i="28" s="1"/>
  <c r="BN19" i="28"/>
  <c r="BO19" i="28" s="1"/>
  <c r="D19" i="28"/>
  <c r="C19" i="28"/>
  <c r="BN18" i="28"/>
  <c r="BO18" i="28" s="1"/>
  <c r="BU18" i="28" s="1"/>
  <c r="D18" i="28"/>
  <c r="C18" i="28"/>
  <c r="BN17" i="28"/>
  <c r="BO17" i="28" s="1"/>
  <c r="D17" i="28"/>
  <c r="C17" i="28"/>
  <c r="BN16" i="28"/>
  <c r="D16" i="28"/>
  <c r="C16" i="28"/>
  <c r="D15" i="28"/>
  <c r="C15" i="28"/>
  <c r="AB160" i="13" l="1"/>
  <c r="AB159" i="13" s="1"/>
  <c r="BO16" i="28"/>
  <c r="BU16" i="28" s="1"/>
  <c r="BU25" i="28"/>
  <c r="BU22" i="28"/>
  <c r="BU27" i="28"/>
  <c r="BU28" i="28"/>
  <c r="BU26" i="28"/>
  <c r="BU29" i="28"/>
  <c r="BU23" i="28"/>
  <c r="BU17" i="28"/>
  <c r="BU19" i="28"/>
  <c r="BU21" i="28"/>
  <c r="BU32" i="28"/>
  <c r="BN33" i="28"/>
  <c r="BO33" i="28" l="1"/>
  <c r="BU15" i="28"/>
  <c r="BU33" i="28" s="1"/>
  <c r="C41" i="27" l="1"/>
  <c r="I41" i="27" s="1"/>
  <c r="C35" i="27"/>
  <c r="I35" i="27" s="1"/>
  <c r="C19" i="27"/>
  <c r="C18" i="27"/>
  <c r="C17" i="27"/>
  <c r="C13" i="27"/>
  <c r="I40" i="27"/>
  <c r="C25" i="10" l="1"/>
  <c r="H20" i="28" l="1"/>
  <c r="D20" i="28" l="1"/>
  <c r="C20"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6" i="28"/>
  <c r="K17"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5"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91" i="13"/>
  <c r="E37" i="22"/>
  <c r="C28" i="22"/>
  <c r="C33" i="22" s="1"/>
  <c r="D292" i="13" l="1"/>
  <c r="G292" i="13"/>
  <c r="D293" i="13"/>
  <c r="AE29" i="13"/>
  <c r="D170" i="10"/>
  <c r="E170" i="10"/>
  <c r="C36" i="22"/>
  <c r="C37" i="22"/>
  <c r="C35" i="22"/>
  <c r="E40" i="22"/>
  <c r="C40" i="22"/>
  <c r="C38" i="22"/>
  <c r="C34" i="22"/>
  <c r="E34" i="22"/>
  <c r="E35" i="22"/>
  <c r="E33" i="22"/>
  <c r="E36" i="22"/>
  <c r="E38" i="22"/>
  <c r="D19" i="22" l="1"/>
  <c r="E167" i="10"/>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19" i="28" l="1"/>
  <c r="K20" i="28"/>
  <c r="K21" i="28"/>
  <c r="K22" i="28"/>
  <c r="K23" i="28"/>
  <c r="K24" i="28"/>
  <c r="K25" i="28"/>
  <c r="K26" i="28"/>
  <c r="K27" i="28"/>
  <c r="K28" i="28"/>
  <c r="K29" i="28"/>
  <c r="K30" i="28"/>
  <c r="AJ9" i="1"/>
  <c r="AJ10" i="1"/>
  <c r="AJ8" i="1"/>
  <c r="D296"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8"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75" i="13"/>
  <c r="BI275" i="13"/>
  <c r="AX275" i="13"/>
  <c r="BB275" i="13"/>
  <c r="Y275" i="13"/>
  <c r="AV275" i="13"/>
  <c r="BH275" i="13"/>
  <c r="AL275" i="13"/>
  <c r="BC275" i="13"/>
  <c r="BM275" i="13"/>
  <c r="J275" i="13"/>
  <c r="U275" i="13"/>
  <c r="AP275" i="13"/>
  <c r="E275" i="13"/>
  <c r="W275" i="13"/>
  <c r="AQ275" i="13"/>
  <c r="BA275" i="13"/>
  <c r="L275" i="13"/>
  <c r="AS275" i="13"/>
  <c r="Q275" i="13"/>
  <c r="AI275" i="13"/>
  <c r="AR275" i="13"/>
  <c r="AA275" i="13"/>
  <c r="AO275" i="13"/>
  <c r="AT275" i="13"/>
  <c r="G275" i="13"/>
  <c r="BK275" i="13"/>
  <c r="AW275" i="13"/>
  <c r="BG275" i="13"/>
  <c r="AY275" i="13"/>
  <c r="AK275" i="13"/>
  <c r="AJ275" i="13"/>
  <c r="AM275" i="13"/>
  <c r="T275" i="13"/>
  <c r="BE275" i="13"/>
  <c r="AU275" i="13"/>
  <c r="V275" i="13"/>
  <c r="BL275" i="13"/>
  <c r="BJ275" i="13"/>
  <c r="Z275" i="13"/>
  <c r="BD275" i="13"/>
  <c r="AH275" i="13"/>
  <c r="S275" i="13"/>
  <c r="AC275" i="13"/>
  <c r="BF275" i="13"/>
  <c r="AZ275" i="13"/>
  <c r="AB275" i="13"/>
  <c r="AN275" i="13"/>
  <c r="BC278" i="13"/>
  <c r="BG278" i="13"/>
  <c r="AX278" i="13"/>
  <c r="BM278" i="13"/>
  <c r="AV278" i="13"/>
  <c r="V278" i="13"/>
  <c r="Z278" i="13"/>
  <c r="AU278" i="13"/>
  <c r="BL278" i="13"/>
  <c r="AC278" i="13"/>
  <c r="BJ278" i="13"/>
  <c r="AQ278" i="13"/>
  <c r="W278" i="13"/>
  <c r="AS278" i="13"/>
  <c r="AJ278" i="13"/>
  <c r="BD278" i="13"/>
  <c r="AP278" i="13"/>
  <c r="AW278" i="13"/>
  <c r="U278" i="13"/>
  <c r="AB278" i="13"/>
  <c r="AT278" i="13"/>
  <c r="BI278" i="13"/>
  <c r="Y278" i="13"/>
  <c r="BK278" i="13"/>
  <c r="AN278" i="13"/>
  <c r="AA278" i="13"/>
  <c r="AM278" i="13"/>
  <c r="AY278" i="13"/>
  <c r="BA278" i="13"/>
  <c r="AR278" i="13"/>
  <c r="AH278" i="13"/>
  <c r="AO278" i="13"/>
  <c r="AI278" i="13"/>
  <c r="AZ278" i="13"/>
  <c r="BE278" i="13"/>
  <c r="T278" i="13"/>
  <c r="BB278" i="13"/>
  <c r="AK278" i="13"/>
  <c r="S278" i="13"/>
  <c r="BH278" i="13"/>
  <c r="BF278" i="13"/>
  <c r="AL278"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0" i="28" l="1"/>
  <c r="O10" i="28" l="1"/>
  <c r="N11" i="28"/>
  <c r="G32" i="27" l="1"/>
  <c r="K18" i="28"/>
  <c r="D27" i="22"/>
  <c r="C27" i="22"/>
  <c r="E27" i="22"/>
  <c r="D22" i="22"/>
  <c r="D20" i="22"/>
  <c r="E20" i="22"/>
  <c r="D21" i="22"/>
  <c r="D115" i="10"/>
  <c r="D109" i="10"/>
  <c r="D114" i="10"/>
  <c r="D113" i="10"/>
  <c r="D111" i="10"/>
  <c r="C116" i="10"/>
  <c r="D116" i="10" s="1"/>
  <c r="D112" i="10"/>
  <c r="D110" i="10"/>
  <c r="C92" i="10"/>
  <c r="D156" i="13"/>
  <c r="P10" i="28"/>
  <c r="O11" i="28"/>
  <c r="C22" i="22"/>
  <c r="E22" i="22"/>
  <c r="C87" i="10"/>
  <c r="D294" i="13" l="1"/>
  <c r="G31" i="27"/>
  <c r="F156" i="13"/>
  <c r="P11" i="28"/>
  <c r="Q10" i="28"/>
  <c r="C46" i="10"/>
  <c r="B31" i="26"/>
  <c r="I39" i="27"/>
  <c r="C93" i="10"/>
  <c r="D289" i="13" l="1"/>
  <c r="C85" i="10"/>
  <c r="C20" i="22"/>
  <c r="H34" i="22"/>
  <c r="E21" i="22"/>
  <c r="C21" i="22"/>
  <c r="H38" i="22"/>
  <c r="AF29" i="13"/>
  <c r="AD29" i="13"/>
  <c r="C77" i="10"/>
  <c r="F289" i="13"/>
  <c r="G30" i="27" s="1"/>
  <c r="C19" i="22"/>
  <c r="E19" i="22"/>
  <c r="AF28" i="13"/>
  <c r="C86" i="10"/>
  <c r="C14" i="26"/>
  <c r="L3" i="13" s="1"/>
  <c r="I156" i="13"/>
  <c r="Q11" i="28"/>
  <c r="R10" i="28"/>
  <c r="AD30" i="13" l="1"/>
  <c r="C23" i="22" s="1"/>
  <c r="C13" i="22"/>
  <c r="E13" i="22"/>
  <c r="AF30" i="13"/>
  <c r="E23" i="22" s="1"/>
  <c r="R11" i="28"/>
  <c r="S10" i="28"/>
  <c r="P49" i="15"/>
  <c r="P15" i="15" s="1"/>
  <c r="AI158" i="13" l="1"/>
  <c r="K156" i="13"/>
  <c r="S11" i="28"/>
  <c r="T10" i="28"/>
  <c r="J49" i="15"/>
  <c r="J15" i="15" s="1"/>
  <c r="D129" i="9"/>
  <c r="AJ158" i="13" l="1"/>
  <c r="AK158" i="13" s="1"/>
  <c r="AL158" i="13" s="1"/>
  <c r="AM158" i="13" s="1"/>
  <c r="AN158" i="13" s="1"/>
  <c r="AO158" i="13" s="1"/>
  <c r="AP158" i="13" s="1"/>
  <c r="AQ158" i="13" s="1"/>
  <c r="AR158" i="13" s="1"/>
  <c r="AS158" i="13" s="1"/>
  <c r="AT158" i="13" s="1"/>
  <c r="AU158" i="13" s="1"/>
  <c r="AV158" i="13" s="1"/>
  <c r="AW158" i="13" s="1"/>
  <c r="AX158" i="13" s="1"/>
  <c r="AY158" i="13" s="1"/>
  <c r="AZ158" i="13" s="1"/>
  <c r="BA158" i="13" s="1"/>
  <c r="BB158" i="13" s="1"/>
  <c r="BC158" i="13" s="1"/>
  <c r="BD158" i="13" s="1"/>
  <c r="BE158" i="13" s="1"/>
  <c r="BF158" i="13" s="1"/>
  <c r="BG158" i="13" s="1"/>
  <c r="BH158" i="13" s="1"/>
  <c r="BI158" i="13" s="1"/>
  <c r="BJ158" i="13" s="1"/>
  <c r="BK158" i="13" s="1"/>
  <c r="T11" i="28"/>
  <c r="U10" i="28"/>
  <c r="D49" i="15"/>
  <c r="D15" i="15" s="1"/>
  <c r="BK166" i="13" l="1"/>
  <c r="BL158" i="13"/>
  <c r="N156" i="13"/>
  <c r="U11" i="28"/>
  <c r="V10" i="28"/>
  <c r="W10" i="28" s="1"/>
  <c r="BK161" i="13" l="1" a="1"/>
  <c r="BK161" i="13" s="1"/>
  <c r="BK163" i="13" a="1"/>
  <c r="BK163" i="13" s="1"/>
  <c r="BK165" i="13" a="1"/>
  <c r="BK165" i="13" s="1"/>
  <c r="BK162" i="13" a="1"/>
  <c r="BK162" i="13" s="1"/>
  <c r="BM158" i="13"/>
  <c r="BL166" i="13"/>
  <c r="O156" i="13"/>
  <c r="W11" i="28"/>
  <c r="X10" i="28"/>
  <c r="V11" i="28"/>
  <c r="D142" i="9"/>
  <c r="BL161" i="13" l="1" a="1"/>
  <c r="BL161" i="13" s="1"/>
  <c r="BL163" i="13" a="1"/>
  <c r="BL163" i="13" s="1"/>
  <c r="BL162" i="13" a="1"/>
  <c r="BL162" i="13" s="1"/>
  <c r="BL165" i="13" a="1"/>
  <c r="BL165" i="13" s="1"/>
  <c r="BM166" i="13"/>
  <c r="BN158" i="13"/>
  <c r="BK160" i="13"/>
  <c r="BK159" i="13" s="1"/>
  <c r="P156" i="13"/>
  <c r="Y10" i="28"/>
  <c r="X11" i="28"/>
  <c r="BM162" i="13" l="1" a="1"/>
  <c r="BM162" i="13" s="1"/>
  <c r="BM163" i="13" a="1"/>
  <c r="BM163" i="13" s="1"/>
  <c r="BM161" i="13" a="1"/>
  <c r="BM161" i="13" s="1"/>
  <c r="BM165" i="13" a="1"/>
  <c r="BM165" i="13" s="1"/>
  <c r="BN166" i="13"/>
  <c r="BO158" i="13"/>
  <c r="BO166" i="13" s="1"/>
  <c r="BL160" i="13"/>
  <c r="BL159" i="13" s="1"/>
  <c r="Z10" i="28"/>
  <c r="Y11" i="28"/>
  <c r="Q156" i="13"/>
  <c r="BO165" i="13" l="1" a="1"/>
  <c r="BO165" i="13" s="1"/>
  <c r="BO162" i="13" a="1"/>
  <c r="BO162" i="13" s="1"/>
  <c r="BO161" i="13" a="1"/>
  <c r="BO161" i="13" s="1"/>
  <c r="BO163" i="13" a="1"/>
  <c r="BO163" i="13" s="1"/>
  <c r="BN163" i="13" a="1"/>
  <c r="BN163" i="13" s="1"/>
  <c r="BN161" i="13" a="1"/>
  <c r="BN161" i="13" s="1"/>
  <c r="BN162" i="13" a="1"/>
  <c r="BN162" i="13" s="1"/>
  <c r="BN165" i="13" a="1"/>
  <c r="BN165" i="13" s="1"/>
  <c r="BM160" i="13"/>
  <c r="BM159" i="13" s="1"/>
  <c r="AA10" i="28"/>
  <c r="Z11" i="28"/>
  <c r="T156" i="13"/>
  <c r="BN160" i="13" l="1"/>
  <c r="BO160" i="13"/>
  <c r="AB10" i="28"/>
  <c r="AA11" i="28"/>
  <c r="V156" i="13" l="1"/>
  <c r="AB11" i="28"/>
  <c r="AC10" i="28"/>
  <c r="C47" i="10"/>
  <c r="W156" i="13" l="1"/>
  <c r="AD10" i="28"/>
  <c r="AC11" i="28"/>
  <c r="Y156" i="13" l="1"/>
  <c r="AE10" i="28"/>
  <c r="AD11" i="28"/>
  <c r="AS169" i="13"/>
  <c r="AW169" i="13"/>
  <c r="AN169" i="13"/>
  <c r="BB169" i="13"/>
  <c r="AJ169" i="13"/>
  <c r="AM169" i="13"/>
  <c r="AK169" i="13"/>
  <c r="AI169" i="13"/>
  <c r="AL169" i="13"/>
  <c r="AZ169" i="13"/>
  <c r="AU169" i="13"/>
  <c r="AV169" i="13"/>
  <c r="AX169" i="13"/>
  <c r="AY169" i="13"/>
  <c r="BC169" i="13"/>
  <c r="AR169" i="13"/>
  <c r="AH169" i="13"/>
  <c r="AT169" i="13"/>
  <c r="AQ169" i="13"/>
  <c r="AP169" i="13"/>
  <c r="BA169" i="13"/>
  <c r="AO169" i="13"/>
  <c r="AI272" i="13" l="1"/>
  <c r="AL272" i="13"/>
  <c r="BA272" i="13"/>
  <c r="AT272" i="13"/>
  <c r="BB272" i="13"/>
  <c r="AN272" i="13"/>
  <c r="AK272" i="13"/>
  <c r="AH272" i="13"/>
  <c r="BF272" i="13"/>
  <c r="BM272" i="13"/>
  <c r="BG272" i="13"/>
  <c r="BE272" i="13"/>
  <c r="BK272" i="13"/>
  <c r="BH272" i="13"/>
  <c r="BL272" i="13"/>
  <c r="BN272" i="13"/>
  <c r="BD272" i="13"/>
  <c r="BI272" i="13"/>
  <c r="BJ272" i="13"/>
  <c r="AW272" i="13"/>
  <c r="AZ272" i="13"/>
  <c r="AP272" i="13"/>
  <c r="AR272" i="13"/>
  <c r="BC272" i="13"/>
  <c r="AQ272" i="13"/>
  <c r="AS272" i="13"/>
  <c r="AJ272" i="13"/>
  <c r="AX272" i="13"/>
  <c r="AO272" i="13"/>
  <c r="AY272" i="13"/>
  <c r="AV272" i="13"/>
  <c r="AM272" i="13"/>
  <c r="AU272" i="13"/>
  <c r="Z156" i="13"/>
  <c r="AE11" i="28"/>
  <c r="AF10" i="28"/>
  <c r="E28" i="22"/>
  <c r="AA156" i="13" l="1"/>
  <c r="AF11" i="28"/>
  <c r="AG10" i="28"/>
  <c r="G38" i="22"/>
  <c r="G40" i="22"/>
  <c r="G35" i="22"/>
  <c r="G36" i="22"/>
  <c r="G37" i="22"/>
  <c r="G33" i="22"/>
  <c r="G34" i="22"/>
  <c r="E103" i="10"/>
  <c r="D34" i="22"/>
  <c r="F34" i="22"/>
  <c r="F33" i="22"/>
  <c r="D105" i="10"/>
  <c r="D14" i="26" l="1"/>
  <c r="AG11" i="28"/>
  <c r="AH10" i="28"/>
  <c r="AI10" i="28" l="1"/>
  <c r="AH11" i="28"/>
  <c r="E3" i="10" l="1"/>
  <c r="E3" i="26"/>
  <c r="L3" i="27"/>
  <c r="L278" i="13"/>
  <c r="BR15" i="28"/>
  <c r="I278" i="13"/>
  <c r="K278" i="13"/>
  <c r="F278" i="13"/>
  <c r="G278" i="13"/>
  <c r="J278" i="13"/>
  <c r="AJ10" i="28"/>
  <c r="AI11" i="28"/>
  <c r="P278" i="13"/>
  <c r="Q278" i="13"/>
  <c r="N278" i="13"/>
  <c r="O278" i="13"/>
  <c r="R278" i="13"/>
  <c r="M278" i="13"/>
  <c r="O275" i="13"/>
  <c r="M275" i="13"/>
  <c r="N275" i="13"/>
  <c r="K275" i="13"/>
  <c r="R275" i="13"/>
  <c r="AK10" i="28" l="1"/>
  <c r="AJ11" i="28"/>
  <c r="BT45" i="28"/>
  <c r="BV45" i="28" s="1"/>
  <c r="BT40" i="28"/>
  <c r="BV40" i="28" s="1"/>
  <c r="BP15" i="28"/>
  <c r="H33" i="22"/>
  <c r="AB156" i="13" l="1"/>
  <c r="AL10" i="28"/>
  <c r="AK11" i="28"/>
  <c r="BT15" i="28"/>
  <c r="AG156" i="13" l="1"/>
  <c r="AM10" i="28"/>
  <c r="AL11" i="28"/>
  <c r="E12" i="22"/>
  <c r="E16" i="22" s="1"/>
  <c r="AH156" i="13" l="1"/>
  <c r="AN10" i="28"/>
  <c r="AM11" i="28"/>
  <c r="AI156" i="13" l="1"/>
  <c r="AO10" i="28"/>
  <c r="AN11" i="28"/>
  <c r="AH166" i="13"/>
  <c r="AH162" i="13" l="1" a="1"/>
  <c r="AH162" i="13" s="1"/>
  <c r="AH165" i="13" a="1"/>
  <c r="AH165" i="13" s="1"/>
  <c r="AH163" i="13" a="1"/>
  <c r="AH163" i="13" s="1"/>
  <c r="AH161" i="13" a="1"/>
  <c r="AH161" i="13" s="1"/>
  <c r="AJ156" i="13"/>
  <c r="AP10" i="28"/>
  <c r="AO11" i="28"/>
  <c r="AI166" i="13"/>
  <c r="AI165" i="13" l="1" a="1"/>
  <c r="AI165" i="13" s="1"/>
  <c r="AI162" i="13" a="1"/>
  <c r="AI162" i="13" s="1"/>
  <c r="AI163" i="13" a="1"/>
  <c r="AI163" i="13" s="1"/>
  <c r="AI161" i="13" a="1"/>
  <c r="AI161" i="13" s="1"/>
  <c r="AH160" i="13"/>
  <c r="AK156" i="13"/>
  <c r="AQ10" i="28"/>
  <c r="AP11" i="28"/>
  <c r="AJ166" i="13"/>
  <c r="AJ161" i="13" l="1" a="1"/>
  <c r="AJ161" i="13" s="1"/>
  <c r="AJ163" i="13" a="1"/>
  <c r="AJ163" i="13" s="1"/>
  <c r="AJ165" i="13" a="1"/>
  <c r="AJ165" i="13" s="1"/>
  <c r="AJ162" i="13" a="1"/>
  <c r="AJ162" i="13" s="1"/>
  <c r="AI160" i="13"/>
  <c r="AL156" i="13"/>
  <c r="AH159" i="13"/>
  <c r="AR10" i="28"/>
  <c r="AQ11" i="28"/>
  <c r="AK166" i="13"/>
  <c r="AK162" i="13" l="1" a="1"/>
  <c r="AK162" i="13" s="1"/>
  <c r="AK165" i="13" a="1"/>
  <c r="AK165" i="13" s="1"/>
  <c r="AK161" i="13" a="1"/>
  <c r="AK161" i="13" s="1"/>
  <c r="AK163" i="13" a="1"/>
  <c r="AK163" i="13" s="1"/>
  <c r="AJ160" i="13"/>
  <c r="AM156" i="13"/>
  <c r="AI159" i="13"/>
  <c r="AS10" i="28"/>
  <c r="AT10" i="28" s="1"/>
  <c r="AR11" i="28"/>
  <c r="AL166" i="13"/>
  <c r="AL162" i="13" l="1" a="1"/>
  <c r="AL162" i="13" s="1"/>
  <c r="AL161" i="13" a="1"/>
  <c r="AL161" i="13" s="1"/>
  <c r="AL163" i="13" a="1"/>
  <c r="AL163" i="13" s="1"/>
  <c r="AL165" i="13" a="1"/>
  <c r="AL165" i="13" s="1"/>
  <c r="AK160" i="13"/>
  <c r="AN156" i="13"/>
  <c r="AJ159" i="13"/>
  <c r="AU10" i="28"/>
  <c r="AT11" i="28"/>
  <c r="AS11" i="28"/>
  <c r="AM166" i="13"/>
  <c r="AM162" i="13" l="1" a="1"/>
  <c r="AM162" i="13" s="1"/>
  <c r="AM161" i="13" a="1"/>
  <c r="AM161" i="13" s="1"/>
  <c r="AM163" i="13" a="1"/>
  <c r="AM163" i="13" s="1"/>
  <c r="AM165" i="13" a="1"/>
  <c r="AM165" i="13" s="1"/>
  <c r="AL160" i="13"/>
  <c r="AO156" i="13"/>
  <c r="AK159" i="13"/>
  <c r="AV10" i="28"/>
  <c r="AU11" i="28"/>
  <c r="AN166" i="13"/>
  <c r="AN162" i="13" l="1" a="1"/>
  <c r="AN162" i="13" s="1"/>
  <c r="AN163" i="13" a="1"/>
  <c r="AN163" i="13" s="1"/>
  <c r="AN161" i="13" a="1"/>
  <c r="AN161" i="13" s="1"/>
  <c r="AN165" i="13" a="1"/>
  <c r="AN165" i="13" s="1"/>
  <c r="AM160" i="13"/>
  <c r="AP156" i="13"/>
  <c r="AL159" i="13"/>
  <c r="AW10" i="28"/>
  <c r="AV11" i="28"/>
  <c r="AO166" i="13"/>
  <c r="AO163" i="13" l="1" a="1"/>
  <c r="AO163" i="13" s="1"/>
  <c r="AO161" i="13" a="1"/>
  <c r="AO161" i="13" s="1"/>
  <c r="AO162" i="13" a="1"/>
  <c r="AO162" i="13" s="1"/>
  <c r="AO165" i="13" a="1"/>
  <c r="AO165" i="13" s="1"/>
  <c r="AN160" i="13"/>
  <c r="AQ156" i="13"/>
  <c r="AM159" i="13"/>
  <c r="AX10" i="28"/>
  <c r="AW11" i="28"/>
  <c r="AP166" i="13"/>
  <c r="AP165" i="13" l="1" a="1"/>
  <c r="AP165" i="13" s="1"/>
  <c r="AP163" i="13" a="1"/>
  <c r="AP163" i="13" s="1"/>
  <c r="AP162" i="13" a="1"/>
  <c r="AP162" i="13" s="1"/>
  <c r="AP161" i="13" a="1"/>
  <c r="AP161" i="13" s="1"/>
  <c r="AO160" i="13"/>
  <c r="AR156" i="13"/>
  <c r="AN159" i="13"/>
  <c r="AY10" i="28"/>
  <c r="AX11" i="28"/>
  <c r="AQ166" i="13"/>
  <c r="AQ162" i="13" l="1" a="1"/>
  <c r="AQ162" i="13" s="1"/>
  <c r="AQ165" i="13" a="1"/>
  <c r="AQ165" i="13" s="1"/>
  <c r="AQ163" i="13" a="1"/>
  <c r="AQ163" i="13" s="1"/>
  <c r="AQ161" i="13" a="1"/>
  <c r="AQ161" i="13" s="1"/>
  <c r="AP160" i="13"/>
  <c r="AS156" i="13"/>
  <c r="AO159" i="13"/>
  <c r="AZ10" i="28"/>
  <c r="AY11" i="28"/>
  <c r="AR166" i="13"/>
  <c r="AR162" i="13" l="1" a="1"/>
  <c r="AR162" i="13" s="1"/>
  <c r="AR165" i="13" a="1"/>
  <c r="AR165" i="13" s="1"/>
  <c r="AR161" i="13" a="1"/>
  <c r="AR161" i="13" s="1"/>
  <c r="AR163" i="13" a="1"/>
  <c r="AR163" i="13" s="1"/>
  <c r="AQ160" i="13"/>
  <c r="AT156" i="13"/>
  <c r="AP159" i="13"/>
  <c r="BA10" i="28"/>
  <c r="AZ11" i="28"/>
  <c r="AS166" i="13"/>
  <c r="AS165" i="13" l="1" a="1"/>
  <c r="AS165" i="13" s="1"/>
  <c r="AS162" i="13" a="1"/>
  <c r="AS162" i="13" s="1"/>
  <c r="AS163" i="13" a="1"/>
  <c r="AS163" i="13" s="1"/>
  <c r="AS161" i="13" a="1"/>
  <c r="AS161" i="13" s="1"/>
  <c r="AR160" i="13"/>
  <c r="AU156" i="13"/>
  <c r="AQ159" i="13"/>
  <c r="BB10" i="28"/>
  <c r="BA11" i="28"/>
  <c r="AT166" i="13"/>
  <c r="AT165" i="13" l="1" a="1"/>
  <c r="AT165" i="13" s="1"/>
  <c r="AT162" i="13" a="1"/>
  <c r="AT162" i="13" s="1"/>
  <c r="AT163" i="13" a="1"/>
  <c r="AT163" i="13" s="1"/>
  <c r="AT161" i="13" a="1"/>
  <c r="AT161" i="13" s="1"/>
  <c r="AS160" i="13"/>
  <c r="AV156" i="13"/>
  <c r="AR159" i="13"/>
  <c r="BC10" i="28"/>
  <c r="BB11" i="28"/>
  <c r="AU166" i="13"/>
  <c r="AU163" i="13" l="1" a="1"/>
  <c r="AU163" i="13" s="1"/>
  <c r="AU165" i="13" a="1"/>
  <c r="AU165" i="13" s="1"/>
  <c r="AU162" i="13" a="1"/>
  <c r="AU162" i="13" s="1"/>
  <c r="AU161" i="13" a="1"/>
  <c r="AU161" i="13" s="1"/>
  <c r="AT160" i="13"/>
  <c r="AW156" i="13"/>
  <c r="AS159" i="13"/>
  <c r="BD10" i="28"/>
  <c r="BC11" i="28"/>
  <c r="AV166" i="13"/>
  <c r="AV161" i="13" l="1" a="1"/>
  <c r="AV161" i="13" s="1"/>
  <c r="AV163" i="13" a="1"/>
  <c r="AV163" i="13" s="1"/>
  <c r="AV165" i="13" a="1"/>
  <c r="AV165" i="13" s="1"/>
  <c r="AV162" i="13" a="1"/>
  <c r="AV162" i="13" s="1"/>
  <c r="AU160" i="13"/>
  <c r="AX156" i="13"/>
  <c r="AT159" i="13"/>
  <c r="BE10" i="28"/>
  <c r="BD11" i="28"/>
  <c r="AW166" i="13"/>
  <c r="AW162" i="13" l="1" a="1"/>
  <c r="AW162" i="13" s="1"/>
  <c r="AW161" i="13" a="1"/>
  <c r="AW161" i="13" s="1"/>
  <c r="AW165" i="13" a="1"/>
  <c r="AW165" i="13" s="1"/>
  <c r="AW163" i="13" a="1"/>
  <c r="AW163" i="13" s="1"/>
  <c r="AV160" i="13"/>
  <c r="AY156" i="13"/>
  <c r="AU159" i="13"/>
  <c r="BF10" i="28"/>
  <c r="BE11" i="28"/>
  <c r="AX166" i="13"/>
  <c r="AX162" i="13" l="1" a="1"/>
  <c r="AX162" i="13" s="1"/>
  <c r="AX161" i="13" a="1"/>
  <c r="AX161" i="13" s="1"/>
  <c r="AX165" i="13" a="1"/>
  <c r="AX165" i="13" s="1"/>
  <c r="AX163" i="13" a="1"/>
  <c r="AX163" i="13" s="1"/>
  <c r="AW160" i="13"/>
  <c r="AZ156" i="13"/>
  <c r="AV159" i="13"/>
  <c r="BG10" i="28"/>
  <c r="BF11" i="28"/>
  <c r="AY166" i="13"/>
  <c r="AY165" i="13" l="1" a="1"/>
  <c r="AY165" i="13" s="1"/>
  <c r="AY162" i="13" a="1"/>
  <c r="AY162" i="13" s="1"/>
  <c r="AY161" i="13" a="1"/>
  <c r="AY161" i="13" s="1"/>
  <c r="AY163" i="13" a="1"/>
  <c r="AY163" i="13" s="1"/>
  <c r="AX160" i="13"/>
  <c r="BA156" i="13"/>
  <c r="AW159" i="13"/>
  <c r="BH10" i="28"/>
  <c r="BG11" i="28"/>
  <c r="AZ166" i="13"/>
  <c r="AZ163" i="13" l="1" a="1"/>
  <c r="AZ163" i="13" s="1"/>
  <c r="AZ162" i="13" a="1"/>
  <c r="AZ162" i="13" s="1"/>
  <c r="AZ161" i="13" a="1"/>
  <c r="AZ161" i="13" s="1"/>
  <c r="AZ165" i="13" a="1"/>
  <c r="AZ165" i="13" s="1"/>
  <c r="AY160" i="13"/>
  <c r="BB156" i="13"/>
  <c r="AX159" i="13"/>
  <c r="BI10" i="28"/>
  <c r="BH11" i="28"/>
  <c r="BA166" i="13"/>
  <c r="BA161" i="13" l="1" a="1"/>
  <c r="BA161" i="13" s="1"/>
  <c r="BA163" i="13" a="1"/>
  <c r="BA163" i="13" s="1"/>
  <c r="BA162" i="13" a="1"/>
  <c r="BA162" i="13" s="1"/>
  <c r="BA165" i="13" a="1"/>
  <c r="BA165" i="13" s="1"/>
  <c r="AZ160" i="13"/>
  <c r="BC156" i="13"/>
  <c r="AY159" i="13"/>
  <c r="BJ10" i="28"/>
  <c r="BI11" i="28"/>
  <c r="BB166" i="13"/>
  <c r="BB161" i="13" l="1" a="1"/>
  <c r="BB161" i="13" s="1"/>
  <c r="BB162" i="13" a="1"/>
  <c r="BB162" i="13" s="1"/>
  <c r="BB163" i="13" a="1"/>
  <c r="BB163" i="13" s="1"/>
  <c r="BB165" i="13" a="1"/>
  <c r="BB165" i="13" s="1"/>
  <c r="BA160" i="13"/>
  <c r="BD156" i="13"/>
  <c r="AZ159" i="13"/>
  <c r="BK10" i="28"/>
  <c r="BJ11" i="28"/>
  <c r="BB160" i="13" l="1"/>
  <c r="BE156" i="13"/>
  <c r="BA159" i="13"/>
  <c r="BL10" i="28"/>
  <c r="BK11" i="28"/>
  <c r="BC166" i="13"/>
  <c r="BC165" i="13" l="1" a="1"/>
  <c r="BC165" i="13" s="1"/>
  <c r="BC162" i="13" a="1"/>
  <c r="BC162" i="13" s="1"/>
  <c r="BC161" i="13" a="1"/>
  <c r="BC161" i="13" s="1"/>
  <c r="BC163" i="13" a="1"/>
  <c r="BC163" i="13" s="1"/>
  <c r="BF156" i="13"/>
  <c r="BB159" i="13"/>
  <c r="BM10" i="28"/>
  <c r="BM11" i="28" s="1"/>
  <c r="BL11" i="28"/>
  <c r="BD166" i="13"/>
  <c r="BD163" i="13" l="1" a="1"/>
  <c r="BD163" i="13" s="1"/>
  <c r="BD165" i="13" a="1"/>
  <c r="BD165" i="13" s="1"/>
  <c r="BD162" i="13" a="1"/>
  <c r="BD162" i="13" s="1"/>
  <c r="BD161" i="13" a="1"/>
  <c r="BD161" i="13" s="1"/>
  <c r="BC160" i="13"/>
  <c r="BE166" i="13"/>
  <c r="BE162" i="13" l="1" a="1"/>
  <c r="BE162" i="13" s="1"/>
  <c r="BE165" i="13" a="1"/>
  <c r="BE165" i="13" s="1"/>
  <c r="BE163" i="13" a="1"/>
  <c r="BE163" i="13" s="1"/>
  <c r="BE161" i="13" a="1"/>
  <c r="BE161" i="13" s="1"/>
  <c r="BD160" i="13"/>
  <c r="BG156" i="13"/>
  <c r="BC159" i="13"/>
  <c r="C48" i="10"/>
  <c r="BF166" i="13"/>
  <c r="BF163" i="13" l="1" a="1"/>
  <c r="BF163" i="13" s="1"/>
  <c r="BF162" i="13" a="1"/>
  <c r="BF162" i="13" s="1"/>
  <c r="BF165" i="13" a="1"/>
  <c r="BF165" i="13" s="1"/>
  <c r="BF161" i="13" a="1"/>
  <c r="BF161" i="13" s="1"/>
  <c r="BE160" i="13"/>
  <c r="BH156" i="13"/>
  <c r="BD159" i="13"/>
  <c r="BG166" i="13"/>
  <c r="BG163" i="13" l="1" a="1"/>
  <c r="BG163" i="13" s="1"/>
  <c r="BG161" i="13" a="1"/>
  <c r="BG161" i="13" s="1"/>
  <c r="BG165" i="13" a="1"/>
  <c r="BG165" i="13" s="1"/>
  <c r="BG162" i="13" a="1"/>
  <c r="BG162" i="13" s="1"/>
  <c r="BF160" i="13"/>
  <c r="BI156" i="13"/>
  <c r="BE159" i="13"/>
  <c r="BH166" i="13"/>
  <c r="BH163" i="13" l="1" a="1"/>
  <c r="BH163" i="13" s="1"/>
  <c r="BH161" i="13" a="1"/>
  <c r="BH161" i="13" s="1"/>
  <c r="BH165" i="13" a="1"/>
  <c r="BH165" i="13" s="1"/>
  <c r="BH162" i="13" a="1"/>
  <c r="BH162" i="13" s="1"/>
  <c r="BG160" i="13"/>
  <c r="BJ156" i="13"/>
  <c r="BF159" i="13"/>
  <c r="BI166" i="13"/>
  <c r="BI162" i="13" l="1" a="1"/>
  <c r="BI162" i="13" s="1"/>
  <c r="BI163" i="13" a="1"/>
  <c r="BI163" i="13" s="1"/>
  <c r="BI161" i="13" a="1"/>
  <c r="BI161" i="13" s="1"/>
  <c r="BI165" i="13" a="1"/>
  <c r="BI165" i="13" s="1"/>
  <c r="BH160" i="13"/>
  <c r="BK156" i="13"/>
  <c r="BG159" i="13"/>
  <c r="BJ166" i="13"/>
  <c r="BJ162" i="13" l="1" a="1"/>
  <c r="BJ162" i="13" s="1"/>
  <c r="BJ161" i="13" a="1"/>
  <c r="BJ161" i="13" s="1"/>
  <c r="BJ165" i="13" a="1"/>
  <c r="BJ165" i="13" s="1"/>
  <c r="BJ163" i="13" a="1"/>
  <c r="BJ163" i="13" s="1"/>
  <c r="BI160" i="13"/>
  <c r="BL156" i="13"/>
  <c r="BH159" i="13"/>
  <c r="BJ160" i="13" l="1"/>
  <c r="BM156" i="13"/>
  <c r="BI159" i="13"/>
  <c r="BN156" i="13" l="1"/>
  <c r="BJ159" i="13"/>
  <c r="BR30" i="28" l="1"/>
  <c r="BP32" i="28"/>
  <c r="BT32" i="28" s="1"/>
  <c r="BP21" i="28"/>
  <c r="BT21" i="28" s="1"/>
  <c r="BR21" i="28"/>
  <c r="BR19" i="28"/>
  <c r="BR24" i="28"/>
  <c r="BR29" i="28"/>
  <c r="BP22" i="28"/>
  <c r="BT22" i="28" s="1"/>
  <c r="BP24" i="28"/>
  <c r="BT24" i="28" s="1"/>
  <c r="BR23" i="28"/>
  <c r="BR28" i="28"/>
  <c r="BP26" i="28"/>
  <c r="BT26" i="28" s="1"/>
  <c r="BR32" i="28"/>
  <c r="BR22" i="28"/>
  <c r="BR17" i="28"/>
  <c r="BR26" i="28"/>
  <c r="BP19" i="28"/>
  <c r="BT19" i="28" s="1"/>
  <c r="BR18" i="28"/>
  <c r="BP30" i="28"/>
  <c r="BT30" i="28" s="1"/>
  <c r="BR25" i="28"/>
  <c r="BP25" i="28"/>
  <c r="BT25" i="28" s="1"/>
  <c r="BP28" i="28"/>
  <c r="BT28" i="28" s="1"/>
  <c r="BR31" i="28"/>
  <c r="BP29" i="28"/>
  <c r="BT29" i="28" s="1"/>
  <c r="C32" i="27" l="1"/>
  <c r="BR16" i="28"/>
  <c r="AE28" i="13"/>
  <c r="D12" i="22" s="1"/>
  <c r="D16" i="22" s="1"/>
  <c r="AD28" i="13"/>
  <c r="C12" i="22" s="1"/>
  <c r="C16" i="22" s="1"/>
  <c r="D33" i="22"/>
  <c r="BP16" i="28"/>
  <c r="BP27" i="28"/>
  <c r="BT27" i="28" s="1"/>
  <c r="BR27" i="28"/>
  <c r="BP20" i="28"/>
  <c r="BT20" i="28" s="1"/>
  <c r="BR20" i="28"/>
  <c r="E99" i="10"/>
  <c r="BP18" i="28"/>
  <c r="BT18" i="28" s="1"/>
  <c r="BP31" i="28"/>
  <c r="BT31" i="28" s="1"/>
  <c r="BP23" i="28"/>
  <c r="BT23" i="28" s="1"/>
  <c r="BP17" i="28"/>
  <c r="BT17" i="28" s="1"/>
  <c r="B52" i="31" l="1"/>
  <c r="D288" i="13" s="1"/>
  <c r="E98" i="10"/>
  <c r="C31" i="27"/>
  <c r="I31" i="27" s="1"/>
  <c r="BP33" i="28"/>
  <c r="BT16" i="28"/>
  <c r="BT33" i="28" s="1"/>
  <c r="BG42" i="28"/>
  <c r="AP42" i="28"/>
  <c r="X37" i="28"/>
  <c r="BG47" i="28"/>
  <c r="BC47" i="28"/>
  <c r="AC47" i="28"/>
  <c r="BI47" i="28"/>
  <c r="Y37" i="28"/>
  <c r="T42" i="28"/>
  <c r="R47" i="28"/>
  <c r="AV37" i="28"/>
  <c r="Q47" i="28"/>
  <c r="AS47" i="28"/>
  <c r="P47" i="28"/>
  <c r="W47" i="28"/>
  <c r="AB37" i="28"/>
  <c r="AG42" i="28"/>
  <c r="AM37" i="28"/>
  <c r="AR42" i="28"/>
  <c r="AO37" i="28"/>
  <c r="BE47" i="28"/>
  <c r="AQ37" i="28"/>
  <c r="Q37" i="28"/>
  <c r="BD37" i="28"/>
  <c r="T47" i="28"/>
  <c r="BB37" i="28"/>
  <c r="V47" i="28"/>
  <c r="AQ42" i="28"/>
  <c r="AD37" i="28"/>
  <c r="AQ47" i="28"/>
  <c r="S42" i="28"/>
  <c r="Z47" i="28"/>
  <c r="AP37" i="28"/>
  <c r="AW37" i="28"/>
  <c r="AK42" i="28"/>
  <c r="BB42" i="28"/>
  <c r="AZ47" i="28"/>
  <c r="O42" i="28"/>
  <c r="AI47" i="28"/>
  <c r="S47" i="28"/>
  <c r="AG37" i="28"/>
  <c r="AI37" i="28"/>
  <c r="AL47" i="28"/>
  <c r="AJ42" i="28"/>
  <c r="AN42" i="28"/>
  <c r="AS37" i="28"/>
  <c r="AZ37" i="28"/>
  <c r="AT47" i="28"/>
  <c r="BA37" i="28"/>
  <c r="BM37" i="28"/>
  <c r="BA47" i="28"/>
  <c r="AW47" i="28"/>
  <c r="U42" i="28"/>
  <c r="BL47" i="28"/>
  <c r="BJ42" i="28"/>
  <c r="O37" i="28"/>
  <c r="BH37" i="28"/>
  <c r="N47" i="28"/>
  <c r="BH42" i="28"/>
  <c r="AB42" i="28"/>
  <c r="U37" i="28"/>
  <c r="AA47" i="28"/>
  <c r="AP47" i="28"/>
  <c r="BE37" i="28"/>
  <c r="AA37" i="28"/>
  <c r="AD42" i="28"/>
  <c r="AJ37" i="28"/>
  <c r="BH47" i="28"/>
  <c r="AA42" i="28"/>
  <c r="AH47" i="28"/>
  <c r="AD47" i="28"/>
  <c r="N37" i="28"/>
  <c r="BF37" i="28"/>
  <c r="AS42" i="28"/>
  <c r="AU42" i="28"/>
  <c r="Y47" i="28"/>
  <c r="X47" i="28"/>
  <c r="O47" i="28"/>
  <c r="BL37" i="28"/>
  <c r="BJ37" i="28"/>
  <c r="AO47" i="28"/>
  <c r="AR47" i="28"/>
  <c r="BC37" i="28"/>
  <c r="BA42" i="28"/>
  <c r="AH37" i="28"/>
  <c r="Y42" i="28"/>
  <c r="AY47" i="28"/>
  <c r="BM42" i="28"/>
  <c r="BL42" i="28"/>
  <c r="AZ42" i="28"/>
  <c r="T37" i="28"/>
  <c r="AV47" i="28"/>
  <c r="P42" i="28"/>
  <c r="AJ47" i="28"/>
  <c r="AL42" i="28"/>
  <c r="AF42" i="28"/>
  <c r="Q42" i="28"/>
  <c r="U47" i="28"/>
  <c r="BG37" i="28"/>
  <c r="AK47" i="28"/>
  <c r="AM47" i="28"/>
  <c r="BI42" i="28"/>
  <c r="AV42" i="28"/>
  <c r="AN47" i="28"/>
  <c r="AL37" i="28"/>
  <c r="AG47" i="28"/>
  <c r="AF37" i="28"/>
  <c r="BC42" i="28"/>
  <c r="AM42" i="28"/>
  <c r="Z37" i="28"/>
  <c r="AE47" i="28"/>
  <c r="AC37" i="28"/>
  <c r="AF47" i="28"/>
  <c r="X42" i="28"/>
  <c r="AT37" i="28"/>
  <c r="BJ47" i="28"/>
  <c r="V37" i="28"/>
  <c r="R37" i="28"/>
  <c r="BF47" i="28"/>
  <c r="V42" i="28"/>
  <c r="AC42" i="28"/>
  <c r="AY42" i="28"/>
  <c r="AE37" i="28"/>
  <c r="BK47" i="28"/>
  <c r="AO42" i="28"/>
  <c r="BK37" i="28"/>
  <c r="AK37" i="28"/>
  <c r="AN37" i="28"/>
  <c r="AU37" i="28"/>
  <c r="BK42" i="28"/>
  <c r="BE42" i="28"/>
  <c r="BI37" i="28"/>
  <c r="BM47" i="28"/>
  <c r="N42" i="28"/>
  <c r="AW42" i="28"/>
  <c r="R42" i="28"/>
  <c r="AX37" i="28"/>
  <c r="AX42" i="28"/>
  <c r="P37" i="28"/>
  <c r="AY37" i="28"/>
  <c r="Z42" i="28"/>
  <c r="AH42" i="28"/>
  <c r="BD42" i="28"/>
  <c r="BD47" i="28"/>
  <c r="AR37" i="28"/>
  <c r="AI42" i="28"/>
  <c r="AX47" i="28"/>
  <c r="W37" i="28"/>
  <c r="AT42" i="28"/>
  <c r="AU47" i="28"/>
  <c r="AE42" i="28"/>
  <c r="W42" i="28"/>
  <c r="BF42" i="28"/>
  <c r="BB47" i="28"/>
  <c r="S37" i="28"/>
  <c r="AB47" i="28"/>
  <c r="F99" i="10" l="1"/>
  <c r="C54" i="10"/>
  <c r="C30" i="27" s="1"/>
  <c r="I30" i="27" s="1"/>
  <c r="C88" i="10"/>
  <c r="AV48" i="28"/>
  <c r="BB43" i="28"/>
  <c r="AX43" i="28"/>
  <c r="AX48" i="28"/>
  <c r="AZ43" i="28"/>
  <c r="AT48" i="28"/>
  <c r="BL43" i="28"/>
  <c r="T38" i="28"/>
  <c r="O48" i="28"/>
  <c r="O38" i="28"/>
  <c r="AX38" i="28"/>
  <c r="AV43" i="28"/>
  <c r="F98" i="10"/>
  <c r="BD43" i="28"/>
  <c r="BF39" i="28"/>
  <c r="BF38" i="28"/>
  <c r="N49" i="28"/>
  <c r="N48" i="28"/>
  <c r="BH38" i="28"/>
  <c r="V38" i="28"/>
  <c r="V39" i="28"/>
  <c r="AT38" i="28"/>
  <c r="BB48" i="28"/>
  <c r="BF43" i="28"/>
  <c r="BF44" i="28"/>
  <c r="BJ43" i="28"/>
  <c r="BJ44" i="28"/>
  <c r="V49" i="28"/>
  <c r="V48" i="28"/>
  <c r="BP41" i="28"/>
  <c r="N38" i="28"/>
  <c r="N39" i="28"/>
  <c r="BH48" i="28"/>
  <c r="BL48" i="28"/>
  <c r="BB38" i="28"/>
  <c r="BP36" i="28"/>
  <c r="K51" i="28"/>
  <c r="R39" i="28"/>
  <c r="R38" i="28"/>
  <c r="BD48" i="28"/>
  <c r="N43" i="28"/>
  <c r="N44" i="28"/>
  <c r="BF48" i="28"/>
  <c r="BF49" i="28"/>
  <c r="AV38" i="28"/>
  <c r="R43" i="28"/>
  <c r="R44" i="28"/>
  <c r="BJ39" i="28"/>
  <c r="BJ38" i="28"/>
  <c r="O43" i="28"/>
  <c r="BD38" i="28"/>
  <c r="R48" i="28"/>
  <c r="R49" i="28"/>
  <c r="V44" i="28"/>
  <c r="V43" i="28"/>
  <c r="AZ38" i="28"/>
  <c r="BJ48" i="28"/>
  <c r="BJ49" i="28"/>
  <c r="BH43" i="28"/>
  <c r="T48" i="28"/>
  <c r="AT43" i="28"/>
  <c r="BL38" i="28"/>
  <c r="AZ48" i="28"/>
  <c r="T43"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4" i="28" s="1"/>
  <c r="BV44" i="28" s="1"/>
  <c r="M19" i="13"/>
  <c r="BT38" i="28"/>
  <c r="BP38" i="28"/>
  <c r="BP37" i="28"/>
  <c r="K55" i="28"/>
  <c r="BP39" i="28"/>
  <c r="C72" i="10" l="1"/>
  <c r="C60" i="10"/>
  <c r="C61" i="10" s="1"/>
  <c r="BT39" i="28"/>
  <c r="BU39" i="28" s="1"/>
  <c r="BU44" i="28"/>
  <c r="K53" i="28"/>
  <c r="K57" i="28"/>
  <c r="K52" i="28"/>
  <c r="K56" i="28"/>
  <c r="BT43" i="28"/>
  <c r="BV38" i="28"/>
  <c r="BU38" i="28"/>
  <c r="C53" i="10" l="1"/>
  <c r="C37" i="10" s="1"/>
  <c r="C45" i="10"/>
  <c r="M21" i="13" s="1"/>
  <c r="C26" i="27"/>
  <c r="BV39" i="28"/>
  <c r="C36" i="10"/>
  <c r="B68" i="27" s="1" a="1"/>
  <c r="B68" i="27" s="1"/>
  <c r="M23" i="13" s="1"/>
  <c r="BU43" i="28"/>
  <c r="BV43" i="28"/>
  <c r="M22" i="13" l="1"/>
  <c r="C27" i="27"/>
  <c r="BP50"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60" authorId="2" shapeId="0" xr:uid="{261BC9A6-D4A8-4FD1-BCBC-F0127EEC3752}">
      <text>
        <r>
          <rPr>
            <b/>
            <sz val="9"/>
            <color indexed="81"/>
            <rFont val="Tahoma"/>
            <family val="2"/>
          </rPr>
          <t xml:space="preserve">Reminder: These holidays are not automatically taken out of weekly hours.
</t>
        </r>
      </text>
    </comment>
    <comment ref="C161"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91"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4"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4"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4"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4" authorId="2" shapeId="0" xr:uid="{BC4AC0FD-C229-4FFC-85CE-821CC4DEB3A3}">
      <text>
        <r>
          <rPr>
            <b/>
            <sz val="10"/>
            <color rgb="FF000000"/>
            <rFont val="Tahoma"/>
            <family val="2"/>
          </rPr>
          <t>DO NOT UPDATE</t>
        </r>
      </text>
    </comment>
    <comment ref="BS14"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4"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<sst xmlns="http://schemas.openxmlformats.org/spreadsheetml/2006/main" count="22822" uniqueCount="3692">
  <si>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</si>
  <si>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</si>
  <si>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</si>
  <si>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</si>
  <si>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</si>
  <si>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</si>
  <si>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</si>
  <si>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</si>
  <si>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</si>
  <si>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</si>
  <si>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</si>
  <si>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</si>
  <si>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</si>
  <si>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</si>
  <si>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</si>
  <si>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</si>
  <si>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</si>
  <si>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</si>
  <si>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</si>
  <si>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</si>
  <si>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</si>
  <si>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</si>
  <si>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</si>
  <si>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</si>
  <si>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</si>
  <si>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</si>
  <si>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</si>
  <si>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</si>
  <si>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</si>
  <si>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</si>
  <si>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</si>
  <si>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</si>
  <si>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</si>
  <si>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</si>
  <si>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</si>
  <si>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</si>
  <si>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</si>
  <si>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</si>
  <si>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</si>
  <si>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</si>
  <si>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</si>
  <si>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</si>
  <si>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</si>
  <si>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</si>
  <si>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</si>
  <si>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</si>
  <si>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</si>
  <si>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</si>
  <si>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</si>
  <si>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</si>
  <si>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</si>
  <si>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</si>
  <si>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</si>
  <si>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</si>
  <si>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</si>
  <si>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</si>
  <si>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</si>
  <si>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</si>
  <si>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</si>
  <si>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</si>
  <si>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</si>
  <si>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</si>
  <si>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</si>
  <si>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</si>
  <si>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</si>
  <si>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</si>
  <si>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</si>
  <si>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</si>
  <si>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</si>
  <si>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</si>
  <si>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</si>
  <si>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</si>
  <si>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</si>
  <si>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</si>
  <si>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</si>
  <si>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</si>
  <si>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</si>
  <si>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</si>
  <si>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</si>
  <si>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</si>
  <si>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</si>
  <si>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</si>
  <si>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</si>
  <si>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</si>
  <si>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</si>
  <si>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</si>
  <si>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</si>
  <si>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</si>
  <si>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</si>
  <si>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</si>
  <si>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</si>
  <si>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</si>
  <si>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</si>
  <si>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</si>
  <si>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</si>
  <si>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</si>
  <si>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</si>
  <si>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</si>
  <si>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</si>
  <si>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</si>
  <si>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</si>
  <si>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</si>
  <si>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</si>
  <si>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</si>
  <si>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</si>
  <si>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</si>
  <si>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</si>
  <si>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</si>
  <si>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</si>
  <si>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</si>
  <si>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</si>
  <si>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</si>
  <si>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</si>
  <si>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</si>
  <si>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</si>
  <si>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</si>
  <si>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</si>
  <si>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</si>
  <si>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</si>
  <si>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</si>
  <si>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</si>
  <si>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</si>
  <si>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</si>
  <si>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</si>
  <si>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</si>
  <si>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</si>
  <si>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</si>
  <si>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</si>
  <si>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</si>
  <si>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</si>
  <si>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</si>
  <si>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</si>
  <si>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</si>
  <si>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</si>
  <si>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</si>
  <si>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</si>
  <si>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</si>
  <si>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</si>
  <si>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</si>
  <si>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</si>
  <si>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</si>
  <si>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</si>
  <si>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</si>
  <si>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</si>
  <si>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</si>
  <si>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</si>
  <si>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</si>
  <si>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</si>
  <si>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</si>
  <si>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</si>
  <si>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</si>
  <si>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</si>
  <si>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</si>
  <si>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</si>
  <si>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</si>
  <si>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</si>
  <si>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</si>
  <si>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</si>
  <si>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</si>
  <si>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</si>
  <si>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</si>
  <si>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</si>
  <si>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</si>
  <si>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</si>
  <si>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</si>
  <si>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</si>
  <si>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</si>
  <si>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</si>
  <si>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</si>
  <si>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</si>
  <si>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</si>
  <si>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</si>
  <si>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</si>
  <si>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</si>
  <si>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</si>
  <si>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</si>
  <si>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</si>
  <si>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</si>
  <si>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</si>
  <si>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</si>
  <si>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</si>
  <si>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</si>
  <si>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</si>
  <si>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</si>
  <si>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</si>
  <si>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</si>
  <si>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</si>
  <si>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</si>
  <si>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</si>
  <si>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</si>
  <si>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</si>
  <si>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</si>
  <si>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</si>
  <si>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</si>
  <si>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</si>
  <si>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</si>
  <si>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</si>
  <si>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</si>
  <si>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</si>
  <si>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</si>
  <si>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</si>
  <si>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</si>
  <si>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</si>
  <si>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</si>
  <si>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</si>
  <si>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</si>
  <si>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</si>
  <si>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</si>
  <si>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</si>
  <si>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</si>
  <si>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</si>
  <si>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</si>
  <si>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</si>
  <si>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</si>
  <si>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</si>
  <si>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</si>
  <si>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</si>
  <si>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</si>
  <si>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</si>
  <si>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</si>
  <si>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</si>
  <si>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</si>
  <si>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</si>
  <si>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</si>
  <si>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</si>
  <si>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</si>
  <si>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</si>
  <si>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</si>
  <si>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</si>
  <si>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</si>
  <si>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</si>
  <si>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</si>
  <si>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</si>
  <si>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</si>
  <si>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</si>
  <si>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</si>
  <si>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</si>
  <si>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</si>
  <si>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</si>
  <si>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</si>
  <si>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</si>
  <si>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</si>
  <si>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</si>
  <si>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</si>
  <si>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</si>
  <si>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</si>
  <si>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</si>
  <si>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</si>
  <si>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</si>
  <si>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</si>
  <si>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</si>
  <si>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</si>
  <si>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</si>
  <si>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</si>
  <si>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</si>
  <si>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</si>
  <si>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</si>
  <si>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</si>
  <si>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</si>
  <si>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</si>
  <si>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</si>
  <si>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</si>
  <si>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</si>
  <si>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</si>
  <si>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</si>
  <si>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</si>
  <si>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</si>
  <si>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</si>
  <si>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</si>
  <si>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</si>
  <si>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</si>
  <si>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</si>
  <si>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</si>
  <si>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</si>
  <si>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</si>
  <si>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</si>
  <si>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</si>
  <si>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</si>
  <si>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</si>
  <si>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</si>
  <si>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</si>
  <si>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</si>
  <si>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</si>
  <si>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</si>
  <si>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</si>
  <si>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</si>
  <si>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</si>
  <si>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</si>
  <si>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</si>
  <si>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</si>
  <si>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</si>
  <si>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</si>
  <si>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</si>
  <si>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</si>
  <si>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</si>
  <si>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</si>
  <si>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</si>
  <si>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</si>
  <si>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</si>
  <si>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</si>
  <si>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</si>
  <si>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</si>
  <si>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</si>
  <si>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</si>
  <si>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</si>
  <si>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</si>
  <si>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</si>
  <si>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</si>
  <si>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</si>
  <si>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</si>
  <si>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</si>
  <si>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</si>
  <si>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</si>
  <si>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</si>
  <si>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</si>
  <si>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</si>
  <si>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</si>
  <si>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</si>
  <si>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</si>
  <si>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</si>
  <si>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</si>
  <si>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</si>
  <si>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</si>
  <si>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</si>
  <si>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</si>
  <si>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</si>
  <si>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</si>
  <si>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</si>
  <si>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</si>
  <si>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</si>
  <si>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</si>
  <si>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</si>
  <si>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</si>
  <si>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</si>
  <si>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</si>
  <si>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</si>
  <si>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</si>
  <si>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</si>
  <si>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</si>
  <si>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</si>
  <si>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</si>
  <si>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</si>
  <si>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</si>
  <si>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</si>
  <si>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</si>
  <si>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</si>
  <si>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</si>
  <si>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</si>
  <si>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</si>
  <si>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</si>
  <si>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</si>
  <si>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</si>
  <si>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</si>
  <si>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</si>
  <si>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</si>
  <si>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</si>
  <si>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</si>
  <si>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</si>
  <si>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</si>
  <si>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</si>
  <si>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</si>
  <si>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</si>
  <si>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</si>
  <si>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</si>
  <si>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</si>
  <si>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</si>
  <si>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</si>
  <si>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</si>
  <si>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</si>
  <si>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</si>
  <si>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</si>
  <si>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</si>
  <si>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</si>
  <si>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</si>
  <si>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</si>
  <si>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</si>
  <si>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</si>
  <si>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</si>
  <si>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</si>
  <si>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</si>
  <si>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</si>
  <si>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</si>
  <si>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</si>
  <si>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</si>
  <si>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</si>
  <si>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</si>
  <si>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</si>
  <si>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</si>
  <si>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</si>
  <si>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</si>
  <si>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</si>
  <si>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</si>
  <si>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</si>
  <si>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</si>
  <si>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</si>
  <si>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</si>
  <si>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</si>
  <si>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</si>
  <si>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</si>
  <si>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</si>
  <si>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</si>
  <si>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</si>
  <si>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</si>
  <si>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</si>
  <si>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</si>
  <si>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</si>
  <si>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</si>
  <si>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</si>
  <si>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</si>
  <si>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</si>
  <si>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</si>
  <si>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</si>
  <si>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</si>
  <si>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</si>
  <si>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</si>
  <si>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</si>
  <si>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</si>
  <si>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</si>
  <si>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</si>
  <si>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</si>
  <si>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</si>
  <si>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</si>
  <si>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</si>
  <si>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</si>
  <si>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</si>
  <si>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</si>
  <si>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</si>
  <si>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</si>
  <si>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</si>
  <si>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</si>
  <si>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</si>
  <si>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</si>
  <si>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</si>
  <si>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</si>
  <si>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</si>
  <si>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</si>
  <si>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</si>
  <si>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</si>
  <si>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</si>
  <si>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</si>
  <si>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</si>
  <si>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</si>
  <si>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</si>
  <si>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</si>
  <si>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</si>
  <si>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</si>
  <si>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</si>
  <si>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</si>
  <si>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</si>
  <si>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</si>
  <si>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</si>
  <si>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</si>
  <si>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</si>
  <si>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</si>
  <si>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</si>
  <si>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</si>
  <si>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</si>
  <si>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</si>
  <si>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</si>
  <si>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</si>
  <si>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</si>
  <si>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</si>
  <si>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</si>
  <si>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</si>
  <si>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</si>
  <si>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</si>
  <si>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</si>
  <si>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</si>
  <si>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</si>
  <si>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</si>
  <si>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</si>
  <si>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</si>
  <si>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</si>
  <si>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</si>
  <si>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</si>
  <si>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</si>
  <si>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</si>
  <si>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</si>
  <si>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</si>
  <si>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</si>
  <si>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</si>
  <si>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</si>
  <si>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</si>
  <si>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</si>
  <si>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</si>
  <si>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</si>
  <si>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</si>
  <si>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</si>
  <si>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</si>
  <si>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</si>
  <si>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</si>
  <si>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</si>
  <si>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</si>
  <si>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</si>
  <si>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</si>
  <si>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</si>
  <si>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</si>
  <si>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</si>
  <si>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</si>
  <si>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</si>
  <si>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</si>
  <si>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</si>
  <si>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</si>
  <si>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</si>
  <si>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</si>
  <si>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</si>
  <si>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</si>
  <si>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</si>
  <si>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</si>
  <si>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</si>
  <si>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</si>
  <si>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</si>
  <si>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</si>
  <si>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</si>
  <si>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</si>
  <si>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</si>
  <si>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</si>
  <si>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</si>
  <si>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</si>
  <si>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</si>
  <si>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</si>
  <si>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</si>
  <si>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</si>
  <si>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</si>
  <si>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</si>
  <si>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</si>
  <si>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</si>
  <si>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</si>
  <si>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</si>
  <si>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</si>
  <si>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</si>
  <si>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</si>
  <si>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</si>
  <si>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</si>
  <si>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</si>
  <si>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</si>
  <si>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</si>
  <si>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</si>
  <si>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</si>
  <si>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</si>
  <si>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</si>
  <si>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</si>
  <si>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</si>
  <si>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</si>
  <si>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</si>
  <si>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</si>
  <si>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</si>
  <si>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</si>
  <si>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</si>
  <si>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</si>
  <si>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</si>
  <si>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</si>
  <si>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</si>
  <si>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</si>
  <si>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</si>
  <si>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</si>
  <si>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</si>
  <si>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</si>
  <si>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</si>
  <si>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</si>
  <si>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</si>
  <si>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</si>
  <si>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</si>
  <si>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</si>
  <si>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</si>
  <si>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</si>
  <si>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</si>
  <si>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</si>
  <si>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</si>
  <si>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</si>
  <si>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</si>
  <si>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</si>
  <si>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</si>
  <si>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</si>
  <si>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</si>
  <si>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</si>
  <si>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</si>
  <si>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</si>
  <si>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</si>
  <si>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</si>
  <si>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</si>
  <si>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</si>
  <si>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</si>
  <si>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</si>
  <si>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</si>
  <si>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</si>
  <si>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</si>
  <si>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</si>
  <si>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</si>
  <si>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</si>
  <si>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</si>
  <si>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</si>
  <si>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</si>
  <si>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</si>
  <si>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</si>
  <si>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</si>
  <si>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</si>
  <si>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</si>
  <si>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</si>
  <si>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</si>
  <si>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</si>
  <si>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</si>
  <si>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</si>
  <si>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</si>
  <si>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</si>
  <si>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</si>
  <si>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</si>
  <si>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</si>
  <si>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</si>
  <si>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</si>
  <si>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</si>
  <si>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</si>
  <si>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</si>
  <si>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</si>
  <si>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</si>
  <si>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</si>
  <si>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</si>
  <si>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</si>
  <si>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</si>
  <si>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</si>
  <si>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</si>
  <si>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</si>
  <si>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</si>
  <si>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</si>
  <si>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</si>
  <si>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</si>
  <si>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</si>
  <si>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</si>
  <si>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</si>
  <si>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</si>
  <si>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</si>
  <si>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</si>
  <si>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</si>
  <si>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</si>
  <si>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</si>
  <si>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</si>
  <si>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</si>
  <si>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</si>
  <si>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</si>
  <si>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</si>
  <si>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</si>
  <si>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</si>
  <si>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</si>
  <si>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</si>
  <si>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</si>
  <si>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</si>
  <si>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</si>
  <si>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</si>
  <si>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</si>
  <si>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</si>
  <si>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</si>
  <si>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</si>
  <si>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</si>
  <si>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</si>
  <si>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</si>
  <si>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</si>
  <si>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</si>
  <si>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</si>
  <si>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</si>
  <si>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</si>
  <si>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</si>
  <si>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</si>
  <si>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</si>
  <si>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</si>
  <si>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</si>
  <si>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</si>
  <si>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</si>
  <si>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</si>
  <si>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</si>
  <si>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</si>
  <si>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</si>
  <si>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</si>
  <si>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</si>
  <si>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</si>
  <si>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</si>
  <si>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</si>
  <si>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</si>
  <si>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</si>
  <si>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</si>
  <si>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</si>
  <si>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</si>
  <si>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</si>
  <si>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</si>
  <si>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</si>
  <si>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</si>
  <si>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</si>
  <si>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</si>
  <si>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</si>
  <si>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</si>
  <si>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</si>
  <si>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</si>
  <si>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</si>
  <si>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</si>
  <si>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</si>
  <si>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</si>
  <si>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</si>
  <si>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</si>
  <si>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</si>
  <si>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</si>
  <si>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</si>
  <si>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</si>
  <si>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</si>
  <si>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</si>
  <si>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</si>
  <si>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</si>
  <si>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</si>
  <si>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</si>
  <si>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</si>
  <si>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</si>
  <si>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</si>
  <si>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</si>
  <si>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</si>
  <si>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</si>
  <si>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</si>
  <si>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</si>
  <si>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</si>
  <si>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</si>
  <si>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</si>
  <si>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</si>
  <si>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</si>
  <si>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</si>
  <si>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</si>
  <si>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</si>
  <si>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</si>
  <si>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</si>
  <si>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</si>
  <si>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</si>
  <si>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</si>
  <si>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</si>
  <si>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</si>
  <si>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</si>
  <si>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</si>
  <si>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</si>
  <si>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</si>
  <si>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</si>
  <si>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</si>
  <si>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</si>
  <si>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</si>
  <si>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</si>
  <si>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</si>
  <si>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</si>
  <si>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</si>
  <si>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</si>
  <si>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</si>
  <si>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</si>
  <si>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</si>
  <si>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</si>
  <si>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</si>
  <si>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</si>
  <si>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</si>
  <si>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</si>
  <si>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</si>
  <si>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</si>
  <si>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</si>
  <si>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</si>
  <si>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</si>
  <si>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</si>
  <si>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</si>
  <si>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</si>
  <si>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</si>
  <si>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</si>
  <si>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</si>
  <si>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</si>
  <si>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</si>
  <si>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</si>
  <si>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</si>
  <si>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</si>
  <si>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</si>
  <si>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</si>
  <si>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</si>
  <si>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</si>
  <si>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</si>
  <si>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</si>
  <si>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</si>
  <si>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</si>
  <si>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</si>
  <si>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</si>
  <si>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</si>
  <si>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</si>
  <si>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</si>
  <si>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</si>
  <si>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</si>
  <si>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</si>
  <si>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</si>
  <si>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</si>
  <si>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</si>
  <si>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</si>
  <si>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</si>
  <si>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</si>
  <si>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</si>
  <si>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</si>
  <si>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</si>
  <si>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</si>
  <si>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</si>
  <si>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</si>
  <si>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</si>
  <si>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</si>
  <si>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</si>
  <si>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</si>
  <si>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</si>
  <si>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</si>
  <si>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</si>
  <si>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</si>
  <si>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</si>
  <si>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</si>
  <si>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</si>
  <si>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</si>
  <si>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</si>
  <si>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</si>
  <si>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</si>
  <si>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</si>
  <si>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</si>
  <si>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</si>
  <si>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</si>
  <si>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</si>
  <si>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</si>
  <si>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</si>
  <si>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</si>
  <si>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</si>
  <si>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</si>
  <si>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</si>
  <si>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</si>
  <si>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</si>
  <si>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</si>
  <si>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</si>
  <si>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</si>
  <si>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</si>
  <si>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</si>
  <si>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</si>
  <si>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</si>
  <si>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</si>
  <si>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</si>
  <si>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</si>
  <si>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</si>
  <si>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</si>
  <si>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</si>
  <si>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</si>
  <si>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</si>
  <si>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</si>
  <si>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</si>
  <si>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</si>
  <si>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</si>
  <si>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</si>
  <si>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</si>
  <si>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</si>
  <si>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</si>
  <si>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</si>
  <si>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</si>
  <si>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</si>
  <si>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</si>
  <si>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</si>
  <si>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</si>
  <si>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</si>
  <si>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</si>
  <si>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</si>
  <si>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</si>
  <si>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</si>
  <si>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</si>
  <si>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</si>
  <si>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</si>
  <si>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</si>
  <si>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</si>
  <si>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</si>
  <si>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</si>
  <si>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</si>
  <si>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</si>
  <si>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</si>
  <si>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</si>
  <si>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</si>
  <si>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</si>
  <si>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</si>
  <si>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</si>
  <si>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</si>
  <si>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</si>
  <si>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</si>
  <si>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</si>
  <si>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</si>
  <si>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</si>
  <si>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</si>
  <si>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</si>
  <si>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</si>
  <si>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</si>
  <si>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</si>
  <si>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</si>
  <si>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</si>
  <si>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</si>
  <si>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</si>
  <si>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</si>
  <si>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</si>
  <si>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</si>
  <si>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</si>
  <si>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</si>
  <si>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</si>
  <si>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</si>
  <si>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</si>
  <si>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</si>
  <si>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</si>
  <si>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</si>
  <si>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</si>
  <si>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</si>
  <si>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</si>
  <si>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</si>
  <si>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</si>
  <si>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</si>
  <si>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</si>
  <si>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</si>
  <si>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</si>
  <si>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</si>
  <si>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</si>
  <si>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</si>
  <si>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</si>
  <si>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</si>
  <si>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</si>
  <si>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</si>
  <si>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</si>
  <si>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</si>
  <si>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</si>
  <si>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</si>
  <si>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</si>
  <si>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</si>
  <si>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</si>
  <si>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</si>
  <si>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</si>
  <si>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</si>
  <si>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</si>
  <si>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</si>
  <si>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</si>
  <si>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</si>
  <si>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</si>
  <si>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</si>
  <si>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</si>
  <si>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</si>
  <si>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</si>
  <si>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</si>
  <si>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</si>
  <si>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</si>
  <si>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</si>
  <si>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</si>
  <si>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</si>
  <si>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</si>
  <si>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</si>
  <si>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</si>
  <si>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</si>
  <si>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</si>
  <si>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</si>
  <si>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</si>
  <si>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</si>
  <si>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</si>
  <si>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</si>
  <si>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</si>
  <si>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</si>
  <si>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</si>
  <si>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</si>
  <si>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</si>
  <si>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</si>
  <si>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</si>
  <si>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</si>
  <si>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</si>
  <si>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</si>
  <si>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</si>
  <si>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</si>
  <si>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</si>
  <si>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</si>
  <si>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</si>
  <si>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</si>
  <si>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</si>
  <si>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</si>
  <si>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</si>
  <si>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</si>
  <si>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</si>
  <si>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</si>
  <si>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</si>
  <si>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</si>
  <si>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</si>
  <si>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</si>
  <si>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</si>
  <si>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</si>
  <si>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</si>
  <si>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</si>
  <si>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</si>
  <si>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</si>
  <si>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</si>
  <si>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</si>
  <si>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</si>
  <si>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</si>
  <si>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</si>
  <si>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</si>
  <si>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</si>
  <si>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</si>
  <si>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</si>
  <si>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</si>
  <si>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</si>
  <si>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</si>
  <si>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</si>
  <si>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</si>
  <si>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</si>
  <si>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</si>
  <si>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</si>
  <si>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</si>
  <si>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</si>
  <si>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</si>
  <si>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</si>
  <si>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</si>
  <si>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</si>
  <si>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</si>
  <si>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</si>
  <si>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</si>
  <si>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</si>
  <si>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</si>
  <si>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</si>
  <si>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</si>
  <si>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</si>
  <si>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</si>
  <si>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</si>
  <si>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</si>
  <si>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</si>
  <si>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</si>
  <si>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</si>
  <si>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</si>
  <si>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</si>
  <si>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</si>
  <si>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</si>
  <si>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</si>
  <si>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</si>
  <si>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</si>
  <si>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</si>
  <si>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</si>
  <si>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</si>
  <si>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</si>
  <si>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</si>
  <si>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</si>
  <si>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</si>
  <si>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</si>
  <si>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</si>
  <si>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</si>
  <si>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</si>
  <si>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</si>
  <si>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</si>
  <si>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</si>
  <si>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</si>
  <si>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</si>
  <si>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</si>
  <si>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</si>
  <si>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</si>
  <si>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</si>
  <si>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</si>
  <si>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</si>
  <si>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</si>
  <si>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</si>
  <si>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</si>
  <si>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</si>
  <si>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</si>
  <si>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</si>
  <si>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</si>
  <si>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</si>
  <si>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</si>
  <si>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</si>
  <si>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</si>
  <si>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</si>
  <si>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</si>
  <si>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</si>
  <si>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</si>
  <si>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</si>
  <si>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</si>
  <si>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</si>
  <si>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</si>
  <si>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</si>
  <si>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</si>
  <si>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</si>
  <si>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</si>
  <si>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</si>
  <si>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</si>
  <si>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</si>
  <si>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</si>
  <si>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</si>
  <si>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</si>
  <si>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</si>
  <si>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</si>
  <si>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</si>
  <si>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</si>
  <si>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</si>
  <si>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</si>
  <si>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</si>
  <si>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</si>
  <si>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</si>
  <si>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</si>
  <si>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</si>
  <si>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</si>
  <si>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</si>
  <si>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</si>
  <si>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</si>
  <si>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</si>
  <si>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</si>
  <si>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</si>
  <si>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</si>
  <si>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</si>
  <si>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</si>
  <si>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</si>
  <si>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</si>
  <si>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</si>
  <si>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</si>
  <si>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</si>
  <si>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</si>
  <si>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</si>
  <si>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</si>
  <si>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</si>
  <si>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</si>
  <si>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</si>
  <si>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</si>
  <si>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</si>
  <si>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</si>
  <si>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</si>
  <si>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</si>
  <si>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</si>
  <si>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</si>
  <si>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</si>
  <si>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</si>
  <si>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</si>
  <si>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</si>
  <si>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</si>
  <si>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</si>
  <si>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</si>
  <si>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</si>
  <si>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</si>
  <si>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</si>
  <si>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</si>
  <si>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</si>
  <si>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</si>
  <si>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</si>
  <si>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</si>
  <si>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</si>
  <si>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</si>
  <si>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</si>
  <si>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</si>
  <si>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</si>
  <si>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</si>
  <si>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</si>
  <si>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</si>
  <si>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</si>
  <si>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</si>
  <si>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</si>
  <si>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</si>
  <si>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</si>
  <si>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</si>
  <si>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</si>
  <si>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</si>
  <si>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</si>
  <si>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</si>
  <si>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</si>
  <si>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</si>
  <si>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</si>
  <si>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</si>
  <si>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</si>
  <si>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</si>
  <si>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</si>
  <si>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</si>
  <si>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</si>
  <si>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</si>
  <si>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</si>
  <si>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</si>
  <si>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</si>
  <si>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</si>
  <si>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</si>
  <si>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</si>
  <si>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</si>
  <si>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</si>
  <si>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</si>
  <si>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</si>
  <si>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</si>
  <si>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</si>
  <si>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</si>
  <si>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</si>
  <si>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</si>
  <si>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</si>
  <si>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</si>
  <si>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</si>
  <si>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</si>
  <si>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</si>
  <si>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</si>
  <si>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</si>
  <si>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</si>
  <si>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</si>
  <si>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</si>
  <si>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</si>
  <si>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</si>
  <si>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</si>
  <si>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</si>
  <si>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</si>
  <si>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</si>
  <si>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</si>
  <si>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</si>
  <si>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</si>
  <si>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</si>
  <si>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</si>
  <si>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</si>
  <si>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</si>
  <si>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</si>
  <si>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</si>
  <si>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</si>
  <si>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</si>
  <si>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</si>
  <si>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</si>
  <si>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</si>
  <si>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</si>
  <si>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</si>
  <si>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</si>
  <si>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</si>
  <si>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</si>
  <si>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</si>
  <si>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</si>
  <si>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</si>
  <si>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</si>
  <si>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</si>
  <si>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</si>
  <si>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</si>
  <si>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</si>
  <si>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</si>
  <si>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</si>
  <si>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</si>
  <si>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</si>
  <si>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</si>
  <si>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</si>
  <si>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</si>
  <si>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</si>
  <si>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</si>
  <si>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</si>
  <si>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</si>
  <si>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</si>
  <si>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</si>
  <si>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</si>
  <si>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</si>
  <si>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</si>
  <si>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</si>
  <si>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</si>
  <si>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</si>
  <si>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</si>
  <si>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</si>
  <si>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</si>
  <si>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</si>
  <si>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</si>
  <si>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</si>
  <si>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</si>
  <si>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</si>
  <si>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</si>
  <si>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</si>
  <si>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</si>
  <si>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</si>
  <si>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</si>
  <si>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</si>
  <si>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</si>
  <si>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</si>
  <si>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</si>
  <si>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</si>
  <si>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</si>
  <si>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</si>
  <si>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</si>
  <si>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</si>
  <si>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</si>
  <si>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</si>
  <si>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</si>
  <si>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</si>
  <si>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</si>
  <si>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</si>
  <si>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</si>
  <si>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</si>
  <si>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</si>
  <si>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</si>
  <si>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</si>
  <si>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</si>
  <si>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</si>
  <si>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</si>
  <si>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</si>
  <si>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</si>
  <si>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</si>
  <si>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</si>
  <si>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</si>
  <si>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</si>
  <si>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</si>
  <si>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</si>
  <si>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</si>
  <si>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</si>
  <si>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</si>
  <si>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</si>
  <si>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</si>
  <si>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</si>
  <si>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</si>
  <si>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</si>
  <si>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</si>
  <si>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</si>
  <si>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</si>
  <si>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</si>
  <si>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</si>
  <si>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</si>
  <si>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</si>
  <si>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</si>
  <si>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</si>
  <si>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</si>
  <si>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</si>
  <si>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</si>
  <si>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</si>
  <si>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</si>
  <si>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</si>
  <si>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</si>
  <si>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</si>
  <si>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</si>
  <si>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</si>
  <si>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</si>
  <si>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</si>
  <si>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</si>
  <si>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</si>
  <si>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</si>
  <si>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</si>
  <si>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</si>
  <si>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</si>
  <si>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</si>
  <si>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</si>
  <si>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</si>
  <si>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</si>
  <si>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</si>
  <si>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</si>
  <si>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</si>
  <si>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</si>
  <si>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</si>
  <si>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</si>
  <si>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</si>
  <si>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</si>
  <si>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</si>
  <si>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</si>
  <si>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</si>
  <si>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</si>
  <si>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</si>
  <si>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</si>
  <si>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</si>
  <si>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</si>
  <si>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</si>
  <si>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</si>
  <si>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</si>
  <si>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</si>
  <si>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</si>
  <si>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</si>
  <si>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</si>
  <si>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</si>
  <si>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</si>
  <si>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</si>
  <si>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</si>
  <si>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</si>
  <si>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</si>
  <si>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</si>
  <si>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</si>
  <si>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</si>
  <si>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</si>
  <si>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</si>
  <si>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</si>
  <si>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</si>
  <si>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</si>
  <si>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</si>
  <si>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</si>
  <si>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</si>
  <si>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</si>
  <si>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</si>
  <si>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</si>
  <si>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</si>
  <si>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</si>
  <si>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</si>
  <si>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</si>
  <si>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</si>
  <si>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</si>
  <si>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</si>
  <si>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</si>
  <si>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</si>
  <si>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</si>
  <si>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</si>
  <si>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</si>
  <si>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</si>
  <si>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</si>
  <si>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</si>
  <si>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</si>
  <si>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</si>
  <si>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</si>
  <si>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</si>
  <si>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</si>
  <si>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</si>
  <si>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</si>
  <si>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</si>
  <si>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</si>
  <si>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</si>
  <si>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</si>
  <si>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</si>
  <si>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</si>
  <si>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</si>
  <si>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</si>
  <si>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</si>
  <si>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</si>
  <si>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</si>
  <si>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</si>
  <si>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</si>
  <si>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</si>
  <si>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</si>
  <si>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</si>
  <si>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</si>
  <si>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</si>
  <si>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</si>
  <si>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</si>
  <si>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</si>
  <si>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</si>
  <si>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</si>
  <si>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</si>
  <si>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</si>
  <si>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</si>
  <si>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</si>
  <si>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</si>
  <si>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</si>
  <si>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</si>
  <si>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</si>
  <si>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</si>
  <si>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</si>
  <si>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</si>
  <si>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</si>
  <si>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</si>
  <si>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</si>
  <si>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</si>
  <si>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</si>
  <si>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</si>
  <si>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</si>
  <si>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</si>
  <si>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</si>
  <si>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</si>
  <si>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</si>
  <si>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</si>
  <si>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</si>
  <si>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</si>
  <si>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</si>
  <si>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</si>
  <si>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</si>
  <si>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</si>
  <si>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</si>
  <si>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</si>
  <si>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</si>
  <si>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</si>
  <si>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</si>
  <si>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</si>
  <si>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</si>
  <si>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</si>
  <si>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</si>
  <si>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</si>
  <si>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</si>
  <si>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</si>
  <si>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</si>
  <si>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</si>
  <si>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</si>
  <si>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</si>
  <si>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</si>
  <si>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</si>
  <si>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</si>
  <si>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</si>
  <si>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</si>
  <si>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</si>
  <si>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</si>
  <si>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</si>
  <si>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</si>
  <si>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</si>
  <si>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</si>
  <si>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</si>
  <si>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</si>
  <si>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</si>
  <si>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</si>
  <si>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</si>
  <si>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</si>
  <si>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</si>
  <si>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</si>
  <si>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</si>
  <si>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</si>
  <si>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</si>
  <si>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</si>
  <si>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</si>
  <si>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</si>
  <si>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</si>
  <si>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</si>
  <si>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</si>
  <si>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</si>
  <si>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</si>
  <si>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</si>
  <si>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</si>
  <si>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</si>
  <si>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</si>
  <si>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</si>
  <si>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</si>
  <si>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</si>
  <si>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</si>
  <si>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</si>
  <si>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</si>
  <si>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</si>
  <si>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</si>
  <si>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</si>
  <si>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</si>
  <si>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</si>
  <si>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</si>
  <si>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</si>
  <si>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</si>
  <si>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</si>
  <si>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</si>
  <si>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</si>
  <si>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</si>
  <si>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</si>
  <si>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</si>
  <si>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</si>
  <si>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</si>
  <si>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</si>
  <si>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</si>
  <si>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</si>
  <si>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</si>
  <si>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</si>
  <si>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</si>
  <si>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</si>
  <si>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</si>
  <si>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</si>
  <si>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</si>
  <si>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</si>
  <si>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</si>
  <si>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</si>
  <si>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</si>
  <si>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</si>
  <si>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</si>
  <si>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</si>
  <si>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</si>
  <si>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</si>
  <si>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</si>
  <si>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</si>
  <si>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</si>
  <si>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</si>
  <si>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</si>
  <si>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</si>
  <si>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</si>
  <si>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</si>
  <si>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</si>
  <si>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</si>
  <si>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</si>
  <si>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</si>
  <si>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</si>
  <si>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</si>
  <si>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</si>
  <si>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</si>
  <si>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</si>
  <si>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</si>
  <si>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</si>
  <si>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</si>
  <si>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</si>
  <si>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</si>
  <si>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</si>
  <si>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</si>
  <si>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</si>
  <si>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</si>
  <si>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</si>
  <si>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</si>
  <si>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</si>
  <si>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</si>
  <si>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</si>
  <si>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</si>
  <si>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</si>
  <si>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</si>
  <si>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</si>
  <si>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</si>
  <si>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</si>
  <si>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</si>
  <si>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</si>
  <si>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</si>
  <si>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</si>
  <si>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</si>
  <si>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</si>
  <si>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</si>
  <si>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</si>
  <si>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</si>
  <si>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</si>
  <si>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</si>
  <si>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</si>
  <si>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</si>
  <si>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</si>
  <si>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</si>
  <si>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</si>
  <si>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</si>
  <si>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</si>
  <si>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</si>
  <si>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</si>
  <si>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</si>
  <si>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</si>
  <si>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</si>
  <si>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</si>
  <si>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</si>
  <si>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</si>
  <si>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</si>
  <si>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</si>
  <si>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</si>
  <si>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</si>
  <si>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</si>
  <si>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</si>
  <si>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</si>
  <si>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</si>
  <si>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</si>
  <si>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</si>
  <si>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</si>
  <si>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</si>
  <si>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</si>
  <si>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</si>
  <si>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</si>
  <si>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</si>
  <si>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</si>
  <si>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</si>
  <si>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</si>
  <si>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</si>
  <si>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</si>
  <si>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</si>
  <si>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</si>
  <si>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</si>
  <si>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</si>
  <si>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</si>
  <si>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</si>
  <si>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</si>
  <si>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</si>
  <si>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</si>
  <si>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</si>
  <si>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</si>
  <si>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</si>
  <si>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</si>
  <si>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</si>
  <si>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</si>
  <si>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</si>
  <si>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</si>
  <si>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</si>
  <si>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</si>
  <si>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</si>
  <si>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</si>
  <si>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</si>
  <si>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</si>
  <si>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</si>
  <si>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</si>
  <si>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</si>
  <si>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</si>
  <si>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</si>
  <si>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</si>
  <si>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</si>
  <si>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</si>
  <si>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</si>
  <si>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</si>
  <si>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</si>
  <si>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</si>
  <si>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</si>
  <si>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</si>
  <si>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</si>
  <si>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</si>
  <si>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</si>
  <si>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</si>
  <si>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</si>
  <si>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</si>
  <si>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</si>
  <si>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</si>
  <si>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</si>
  <si>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</si>
  <si>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</si>
  <si>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</si>
  <si>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</si>
  <si>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</si>
  <si>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</si>
  <si>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</si>
  <si>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</si>
  <si>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</si>
  <si>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</si>
  <si>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</si>
  <si>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</si>
  <si>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</si>
  <si>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</si>
  <si>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</si>
  <si>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</si>
  <si>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</si>
  <si>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</si>
  <si>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</si>
  <si>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</si>
  <si>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</si>
  <si>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</si>
  <si>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</si>
  <si>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</si>
  <si>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</si>
  <si>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</si>
  <si>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</si>
  <si>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</si>
  <si>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</si>
  <si>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</si>
  <si>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</si>
  <si>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</si>
  <si>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</si>
  <si>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</si>
  <si>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</si>
  <si>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</si>
  <si>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</si>
  <si>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</si>
  <si>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</si>
  <si>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</si>
  <si>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</si>
  <si>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</si>
  <si>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</si>
  <si>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</si>
  <si>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</si>
  <si>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</si>
  <si>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</si>
  <si>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</si>
  <si>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</si>
  <si>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</si>
  <si>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</si>
  <si>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</si>
  <si>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</si>
  <si>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</si>
  <si>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</si>
  <si>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</si>
  <si>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</si>
  <si>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</si>
  <si>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</si>
  <si>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</si>
  <si>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</si>
  <si>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</si>
  <si>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</si>
  <si>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</si>
  <si>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</si>
  <si>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</si>
  <si>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</si>
  <si>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</si>
  <si>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</si>
  <si>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</si>
  <si>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</si>
  <si>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</si>
  <si>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</si>
  <si>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</si>
  <si>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</si>
  <si>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</si>
  <si>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</si>
  <si>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</si>
  <si>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</si>
  <si>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</si>
  <si>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</si>
  <si>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</si>
  <si>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</si>
  <si>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</si>
  <si>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</si>
  <si>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</si>
  <si>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</si>
  <si>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</si>
  <si>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</si>
  <si>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</si>
  <si>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</si>
  <si>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</si>
  <si>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</si>
  <si>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</si>
  <si>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</si>
  <si>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</si>
  <si>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</si>
  <si>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</si>
  <si>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</si>
  <si>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</si>
  <si>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</si>
  <si>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</si>
  <si>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</si>
  <si>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</si>
  <si>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</si>
  <si>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</si>
  <si>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</si>
  <si>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</si>
  <si>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</si>
  <si>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</si>
  <si>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</si>
  <si>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</si>
  <si>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</si>
  <si>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</si>
  <si>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</si>
  <si>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</si>
  <si>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</si>
  <si>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</si>
  <si>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</si>
  <si>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</si>
  <si>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</si>
  <si>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</si>
  <si>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</si>
  <si>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</si>
  <si>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</si>
  <si>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</si>
  <si>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</si>
  <si>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</si>
  <si>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</si>
  <si>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</si>
  <si>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</si>
  <si>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</si>
  <si>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</si>
  <si>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</si>
  <si>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</si>
  <si>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</si>
  <si>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</si>
  <si>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</si>
  <si>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</si>
  <si>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</si>
  <si>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</si>
  <si>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</si>
  <si>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</si>
  <si>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</si>
  <si>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</si>
  <si>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</si>
  <si>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</si>
  <si>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</si>
  <si>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</si>
  <si>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</si>
  <si>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</si>
  <si>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</si>
  <si>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</si>
  <si>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</si>
  <si>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</si>
  <si>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</si>
  <si>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</si>
  <si>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</si>
  <si>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</si>
  <si>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</si>
  <si>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</si>
  <si>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</si>
  <si>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</si>
  <si>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</si>
  <si>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</si>
  <si>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</si>
  <si>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</si>
  <si>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</si>
  <si>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</si>
  <si>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</si>
  <si>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</si>
  <si>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</si>
  <si>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</si>
  <si>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</si>
  <si>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</si>
  <si>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</si>
  <si>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</si>
  <si>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</si>
  <si>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</si>
  <si>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</si>
  <si>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</si>
  <si>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</si>
  <si>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</si>
  <si>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</si>
  <si>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</si>
  <si>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</si>
  <si>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</si>
  <si>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</si>
  <si>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</si>
  <si>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</si>
  <si>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</si>
  <si>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</si>
  <si>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</si>
  <si>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</si>
  <si>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</si>
  <si>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</si>
  <si>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</si>
  <si>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</si>
  <si>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</si>
  <si>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</si>
  <si>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</si>
  <si>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</si>
  <si>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</si>
  <si>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</si>
  <si>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</si>
  <si>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</si>
  <si>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</si>
  <si>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</si>
  <si>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</si>
  <si>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</si>
  <si>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</si>
  <si>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</si>
  <si>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</si>
  <si>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</si>
  <si>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</si>
  <si>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</si>
  <si>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</si>
  <si>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</si>
  <si>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</si>
  <si>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</si>
  <si>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</si>
  <si>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</si>
  <si>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</si>
  <si>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</si>
  <si>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</si>
  <si>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</si>
  <si>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</si>
  <si>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</si>
  <si>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</si>
  <si>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</si>
  <si>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</si>
  <si>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</si>
  <si>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</si>
  <si>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</si>
  <si>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</si>
  <si>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</si>
  <si>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</si>
  <si>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</si>
  <si>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</si>
  <si>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</si>
  <si>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</si>
  <si>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</si>
  <si>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</si>
  <si>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</si>
  <si>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</si>
  <si>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</si>
  <si>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</si>
  <si>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</si>
  <si>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</si>
  <si>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</si>
  <si>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</si>
  <si>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</si>
  <si>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</si>
  <si>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</si>
  <si>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</si>
  <si>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</si>
  <si>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</si>
  <si>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</si>
  <si>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</si>
  <si>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</si>
  <si>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</si>
  <si>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</si>
  <si>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</si>
  <si>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</si>
  <si>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</si>
  <si>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</si>
  <si>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</si>
  <si>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</si>
  <si>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</si>
  <si>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</si>
  <si>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</si>
  <si>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</si>
  <si>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</si>
  <si>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</si>
  <si>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</si>
  <si>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</si>
  <si>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</si>
  <si>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</si>
  <si>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</si>
  <si>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</si>
  <si>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</si>
  <si>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</si>
  <si>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</si>
  <si>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</si>
  <si>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</si>
  <si>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</si>
  <si>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</si>
  <si>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</si>
  <si>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</si>
  <si>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</si>
  <si>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</si>
  <si>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</si>
  <si>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</si>
  <si>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</si>
  <si>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</si>
  <si>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</si>
  <si>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</si>
  <si>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</si>
  <si>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</si>
  <si>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</si>
  <si>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</si>
  <si>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</si>
  <si>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</si>
  <si>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</si>
  <si>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</si>
  <si>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</si>
  <si>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</si>
  <si>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</si>
  <si>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</si>
  <si>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</si>
  <si>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</si>
  <si>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</si>
  <si>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</si>
  <si>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</si>
  <si>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</si>
  <si>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</si>
  <si>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</si>
  <si>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</si>
  <si>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</si>
  <si>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</si>
  <si>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</si>
  <si>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</si>
  <si>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</si>
  <si>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</si>
  <si>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</si>
  <si>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</si>
  <si>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</si>
  <si>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</si>
  <si>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</si>
  <si>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</si>
  <si>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</si>
  <si>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</si>
  <si>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</si>
  <si>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</si>
  <si>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</si>
  <si>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</si>
  <si>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</si>
  <si>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</si>
  <si>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</si>
  <si>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</si>
  <si>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</si>
  <si>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</si>
  <si>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</si>
  <si>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</si>
  <si>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</si>
  <si>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</si>
  <si>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</si>
  <si>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</si>
  <si>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</si>
  <si>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</si>
  <si>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</si>
  <si>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</si>
  <si>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</si>
  <si>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</si>
  <si>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</si>
  <si>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</si>
  <si>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</si>
  <si>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</si>
  <si>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</si>
  <si>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</si>
  <si>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</si>
  <si>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</si>
  <si>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</si>
  <si>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</si>
  <si>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</si>
  <si>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</si>
  <si>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</si>
  <si>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</si>
  <si>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</si>
  <si>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</si>
  <si>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</si>
  <si>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</si>
  <si>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</si>
  <si>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</si>
  <si>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</si>
  <si>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</si>
  <si>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</si>
  <si>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</si>
  <si>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</si>
  <si>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</si>
  <si>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</si>
  <si>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</si>
  <si>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</si>
  <si>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</si>
  <si>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</si>
  <si>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</si>
  <si>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</si>
  <si>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</si>
  <si>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</si>
  <si>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</si>
  <si>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</si>
  <si>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</si>
  <si>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</si>
  <si>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</si>
  <si>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</si>
  <si>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</si>
  <si>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</si>
  <si>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</si>
  <si>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</si>
  <si>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</si>
  <si>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</si>
  <si>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</si>
  <si>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</si>
  <si>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</si>
  <si>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</si>
  <si>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</si>
  <si>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</si>
  <si>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</si>
  <si>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</si>
  <si>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</si>
  <si>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</si>
  <si>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</si>
  <si>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</si>
  <si>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</si>
  <si>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</si>
  <si>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</si>
  <si>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</si>
  <si>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</si>
  <si>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</si>
  <si>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</si>
  <si>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</si>
  <si>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</si>
  <si>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</si>
  <si>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</si>
  <si>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</si>
  <si>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</si>
  <si>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</si>
  <si>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</si>
  <si>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</si>
  <si>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</si>
  <si>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</si>
  <si>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</si>
  <si>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</si>
  <si>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</si>
  <si>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</si>
  <si>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</si>
  <si>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</si>
  <si>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</si>
  <si>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</si>
  <si>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</si>
  <si>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</si>
  <si>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</si>
  <si>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</si>
  <si>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</si>
  <si>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</si>
  <si>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</si>
  <si>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</si>
  <si>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</si>
  <si>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</si>
  <si>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</si>
  <si>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</si>
  <si>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</si>
  <si>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</si>
  <si>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</si>
  <si>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</si>
  <si>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</si>
  <si>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</si>
  <si>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</si>
  <si>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</si>
  <si>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</si>
  <si>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</si>
  <si>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</si>
  <si>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</si>
  <si>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</si>
  <si>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</si>
  <si>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</si>
  <si>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</si>
  <si>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</si>
  <si>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</si>
  <si>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</si>
  <si>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</si>
  <si>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</si>
  <si>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</si>
  <si>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</si>
  <si>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</si>
  <si>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</si>
  <si>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</si>
  <si>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</si>
  <si>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</si>
  <si>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</si>
  <si>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</si>
  <si>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</si>
  <si>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</si>
  <si>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</si>
  <si>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</si>
  <si>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</si>
  <si>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</si>
  <si>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</si>
  <si>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</si>
  <si>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</si>
  <si>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</si>
  <si>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</si>
  <si>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</si>
  <si>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</si>
  <si>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</si>
  <si>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</si>
  <si>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</si>
  <si>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</si>
  <si>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</si>
  <si>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</si>
  <si>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</si>
  <si>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</si>
  <si>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</si>
  <si>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</si>
  <si>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</si>
  <si>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</si>
  <si>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</si>
  <si>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</si>
  <si>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</si>
  <si>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</si>
  <si>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</si>
  <si>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</si>
  <si>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</si>
  <si>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</si>
  <si>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</si>
  <si>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</si>
  <si>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</si>
  <si>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</si>
  <si>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</si>
  <si>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</si>
  <si>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</si>
  <si>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</si>
  <si>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</si>
  <si>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</si>
  <si>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</si>
  <si>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</si>
  <si>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</si>
  <si>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</si>
  <si>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</si>
  <si>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</si>
  <si>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</si>
  <si>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</si>
  <si>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</si>
  <si>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</si>
  <si>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</si>
  <si>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</si>
  <si>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</si>
  <si>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</si>
  <si>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</si>
  <si>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</si>
  <si>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</si>
  <si>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</si>
  <si>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</si>
  <si>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</si>
  <si>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</si>
  <si>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</si>
  <si>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</si>
  <si>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</si>
  <si>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</si>
  <si>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</si>
  <si>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</si>
  <si>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</si>
  <si>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</si>
  <si>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</si>
  <si>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</si>
  <si>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</si>
  <si>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</si>
  <si>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</si>
  <si>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</si>
  <si>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</si>
  <si>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</si>
  <si>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</si>
  <si>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</si>
  <si>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</si>
  <si>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</si>
  <si>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</si>
  <si>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</si>
  <si>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</si>
  <si>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</si>
  <si>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</si>
  <si>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</si>
  <si>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</si>
  <si>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</si>
  <si>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</si>
  <si>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</si>
  <si>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</si>
  <si>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</si>
  <si>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</si>
  <si>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</si>
  <si>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</si>
  <si>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</si>
  <si>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</si>
  <si>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</si>
  <si>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</si>
  <si>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</si>
  <si>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</si>
  <si>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</si>
  <si>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</si>
  <si>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</si>
  <si>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</si>
  <si>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</si>
  <si>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</si>
  <si>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</si>
  <si>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</si>
  <si>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</si>
  <si>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</si>
  <si>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</si>
  <si>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</si>
  <si>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</si>
  <si>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</si>
  <si>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</si>
  <si>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</si>
  <si>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</si>
  <si>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</si>
  <si>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</si>
  <si>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</si>
  <si>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</si>
  <si>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</si>
  <si>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</si>
  <si>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</si>
  <si>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</si>
  <si>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</si>
  <si>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</si>
  <si>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</si>
  <si>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</si>
  <si>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</si>
  <si>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</si>
  <si>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</si>
  <si>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</si>
  <si>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</si>
  <si>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</si>
  <si>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</si>
  <si>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</si>
  <si>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</si>
  <si>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</si>
  <si>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</si>
  <si>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</si>
  <si>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</si>
  <si>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</si>
  <si>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</si>
  <si>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</si>
  <si>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</si>
  <si>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</si>
  <si>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</si>
  <si>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</si>
  <si>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</si>
  <si>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</si>
  <si>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</si>
  <si>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</si>
  <si>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</si>
  <si>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</si>
  <si>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</si>
  <si>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</si>
  <si>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</si>
  <si>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</si>
  <si>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</si>
  <si>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</si>
  <si>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</si>
  <si>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</si>
  <si>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</si>
  <si>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</si>
  <si>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</si>
  <si>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</si>
  <si>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</si>
  <si>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</si>
  <si>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</si>
  <si>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</si>
  <si>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</si>
  <si>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</si>
  <si>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</si>
  <si>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</si>
  <si>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</si>
  <si>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</si>
  <si>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</si>
  <si>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</si>
  <si>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</si>
  <si>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</si>
  <si>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</si>
  <si>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</si>
  <si>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</si>
  <si>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</si>
  <si>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</si>
  <si>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</si>
  <si>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</si>
  <si>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</si>
  <si>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</si>
  <si>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</si>
  <si>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</si>
  <si>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</si>
  <si>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</si>
  <si>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</si>
  <si>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</si>
  <si>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</si>
  <si>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</si>
  <si>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</si>
  <si>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</si>
  <si>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</si>
  <si>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</si>
  <si>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</si>
  <si>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</si>
  <si>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</si>
  <si>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</si>
  <si>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</si>
  <si>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</si>
  <si>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</si>
  <si>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</si>
  <si>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</si>
  <si>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</si>
  <si>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</si>
  <si>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</si>
  <si>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</si>
  <si>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</si>
  <si>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</si>
  <si>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</si>
  <si>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</si>
  <si>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</si>
  <si>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</si>
  <si>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</si>
  <si>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</si>
  <si>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</si>
  <si>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</si>
  <si>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</si>
  <si>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</si>
  <si>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</si>
  <si>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</si>
  <si>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</si>
  <si>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</si>
  <si>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</si>
  <si>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</si>
  <si>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</si>
  <si>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</si>
  <si>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</si>
  <si>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</si>
  <si>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</si>
  <si>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</si>
  <si>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</si>
  <si>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</si>
  <si>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</si>
  <si>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</si>
  <si>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</si>
  <si>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</si>
  <si>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</si>
  <si>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</si>
  <si>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</si>
  <si>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</si>
  <si>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</si>
  <si>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</si>
  <si>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</si>
  <si>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</si>
  <si>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</si>
  <si>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</si>
  <si>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</si>
  <si>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</si>
  <si>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</si>
  <si>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</si>
  <si>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</si>
  <si>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</si>
  <si>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</si>
  <si>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</si>
  <si>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</si>
  <si>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</si>
  <si>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</si>
  <si>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</si>
  <si>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</si>
  <si>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</si>
  <si>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</si>
  <si>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</si>
  <si>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</si>
  <si>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</si>
  <si>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</si>
  <si>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</si>
  <si>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</si>
  <si>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</si>
  <si>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</si>
  <si>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</si>
  <si>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</si>
  <si>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</si>
  <si>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</si>
  <si>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</si>
  <si>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</si>
  <si>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</si>
  <si>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</si>
  <si>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</si>
  <si>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</si>
  <si>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</si>
  <si>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</si>
  <si>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</si>
  <si>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</si>
  <si>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</si>
  <si>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</si>
  <si>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</si>
  <si>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</si>
  <si>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</si>
  <si>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</si>
  <si>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</si>
  <si>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</si>
  <si>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</si>
  <si>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</si>
  <si>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</si>
  <si>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</si>
  <si>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</si>
  <si>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</si>
  <si>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</si>
  <si>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</si>
  <si>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</si>
  <si>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</si>
  <si>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</si>
  <si>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</si>
  <si>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</si>
  <si>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</si>
  <si>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</si>
  <si>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</si>
  <si>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</si>
  <si>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</si>
  <si>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</si>
  <si>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</si>
  <si>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</si>
  <si>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</si>
  <si>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</si>
  <si>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</si>
  <si>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</si>
  <si>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</si>
  <si>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</si>
  <si>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</si>
  <si>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</si>
  <si>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</si>
  <si>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</si>
  <si>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</si>
  <si>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</si>
  <si>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</si>
  <si>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</si>
  <si>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</si>
  <si>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</si>
  <si>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</si>
  <si>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</si>
  <si>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</si>
  <si>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</si>
  <si>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</si>
  <si>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</si>
  <si>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</si>
  <si>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</si>
  <si>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</si>
  <si>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</si>
  <si>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</si>
  <si>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</si>
  <si>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</si>
  <si>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</si>
  <si>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</si>
  <si>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</si>
  <si>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</si>
  <si>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</si>
  <si>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</si>
  <si>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</si>
  <si>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</si>
  <si>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</si>
  <si>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</si>
  <si>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</si>
  <si>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</si>
  <si>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</si>
  <si>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</si>
  <si>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</si>
  <si>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</si>
  <si>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</si>
  <si>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</si>
  <si>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</si>
  <si>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</si>
  <si>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</si>
  <si>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</si>
  <si>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</si>
  <si>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</si>
  <si>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</si>
  <si>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</si>
  <si>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</si>
  <si>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</si>
  <si>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</si>
  <si>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</si>
  <si>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</si>
  <si>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</si>
  <si>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</si>
  <si>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</si>
  <si>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</si>
  <si>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</si>
  <si>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</si>
  <si>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</si>
  <si>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</si>
  <si>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</si>
  <si>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</si>
  <si>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</si>
  <si>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</si>
  <si>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</si>
  <si>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</si>
  <si>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</si>
  <si>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</si>
  <si>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</si>
  <si>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</si>
  <si>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</si>
  <si>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</si>
  <si>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</si>
  <si>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</si>
  <si>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</si>
  <si>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</si>
  <si>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</si>
  <si>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</si>
  <si>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</si>
  <si>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</si>
  <si>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</si>
  <si>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</si>
  <si>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</si>
  <si>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</si>
  <si>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</si>
  <si>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</si>
  <si>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</si>
  <si>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</si>
  <si>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</si>
  <si>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</si>
  <si>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</si>
  <si>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</si>
  <si>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</si>
  <si>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</si>
  <si>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</si>
  <si>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</si>
  <si>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</si>
  <si>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</si>
  <si>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</si>
  <si>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</si>
  <si>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</si>
  <si>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</si>
  <si>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</si>
  <si>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</si>
  <si>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</si>
  <si>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</si>
  <si>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</si>
  <si>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</si>
  <si>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</si>
  <si>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</si>
  <si>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</si>
  <si>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</si>
  <si>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</si>
  <si>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</si>
  <si>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</si>
  <si>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</si>
  <si>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</si>
  <si>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</si>
  <si>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</si>
  <si>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</si>
  <si>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</si>
  <si>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</si>
  <si>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</si>
  <si>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</si>
  <si>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</si>
  <si>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</si>
  <si>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</si>
  <si>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</si>
  <si>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</si>
  <si>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</si>
  <si>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</si>
  <si>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</si>
  <si>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</si>
  <si>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</si>
  <si>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</si>
  <si>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</si>
  <si>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</si>
  <si>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</si>
  <si>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</si>
  <si>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</si>
  <si>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</si>
  <si>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</si>
  <si>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</si>
  <si>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</si>
  <si>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</si>
  <si>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</si>
  <si>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</si>
  <si>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</si>
  <si>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</si>
  <si>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</si>
  <si>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</si>
  <si>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</si>
  <si>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</si>
  <si>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</si>
  <si>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</si>
  <si>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</si>
  <si>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</si>
  <si>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</si>
  <si>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</si>
  <si>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</si>
  <si>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</si>
  <si>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</si>
  <si>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</si>
  <si>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</si>
  <si>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</si>
  <si>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</si>
  <si>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</si>
  <si>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</si>
  <si>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</si>
  <si>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</si>
  <si>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</si>
  <si>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</si>
  <si>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</si>
  <si>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</si>
  <si>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</si>
  <si>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</si>
  <si>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</si>
  <si>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</si>
  <si>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</si>
  <si>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</si>
  <si>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</si>
  <si>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</si>
  <si>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</si>
  <si>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</si>
  <si>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</si>
  <si>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</si>
  <si>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</si>
  <si>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</si>
  <si>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</si>
  <si>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</si>
  <si>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</si>
  <si>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</si>
  <si>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</si>
  <si>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</si>
  <si>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</si>
  <si>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</si>
  <si>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</si>
  <si>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</si>
  <si>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</si>
  <si>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</si>
  <si>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</si>
  <si>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</si>
  <si>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</si>
  <si>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</si>
  <si>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</si>
  <si>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</si>
  <si>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</si>
  <si>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</si>
  <si>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</si>
  <si>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</si>
  <si>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</si>
  <si>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</si>
  <si>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</si>
  <si>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</si>
  <si>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</si>
  <si>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</si>
  <si>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</si>
  <si>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</si>
  <si>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</si>
  <si>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</si>
  <si>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</si>
  <si>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</si>
  <si>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</si>
  <si>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</si>
  <si>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</si>
  <si>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</si>
  <si>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</si>
  <si>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</si>
  <si>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</si>
  <si>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</si>
  <si>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</si>
  <si>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</si>
  <si>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</si>
  <si>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</si>
  <si>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</si>
  <si>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</si>
  <si>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</si>
  <si>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</si>
  <si>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</si>
  <si>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</si>
  <si>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</si>
  <si>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</si>
  <si>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</si>
  <si>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</si>
  <si>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</si>
  <si>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</si>
  <si>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</si>
  <si>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</si>
  <si>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</si>
  <si>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</si>
  <si>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</si>
  <si>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</si>
  <si>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</si>
  <si>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</si>
  <si>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</si>
  <si>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</si>
  <si>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</si>
  <si>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</si>
  <si>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</si>
  <si>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</si>
  <si>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</si>
  <si>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</si>
  <si>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</si>
  <si>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</si>
  <si>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</si>
  <si>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</si>
  <si>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</si>
  <si>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</si>
  <si>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</si>
  <si>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</si>
  <si>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</si>
  <si>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</si>
  <si>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</si>
  <si>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</si>
  <si>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</si>
  <si>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</si>
  <si>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</si>
  <si>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</si>
  <si>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</si>
  <si>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</si>
  <si>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</si>
  <si>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</si>
  <si>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</si>
  <si>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</si>
  <si>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</si>
  <si>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</si>
  <si>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</si>
  <si>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</si>
  <si>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</si>
  <si>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</si>
  <si>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</si>
  <si>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</si>
  <si>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</si>
  <si>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</si>
  <si>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</si>
  <si>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</si>
  <si>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</si>
  <si>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</si>
  <si>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</si>
  <si>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</si>
  <si>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</si>
  <si>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</si>
  <si>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</si>
  <si>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</si>
  <si>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</si>
  <si>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</si>
  <si>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</si>
  <si>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</si>
  <si>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</si>
  <si>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</si>
  <si>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</si>
  <si>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</si>
  <si>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</si>
  <si>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</si>
  <si>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</si>
  <si>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</si>
  <si>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</si>
  <si>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</si>
  <si>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</si>
  <si>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</si>
  <si>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</si>
  <si>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</si>
  <si>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</si>
  <si>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</si>
  <si>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</si>
  <si>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</si>
  <si>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</si>
  <si>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</si>
  <si>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</si>
  <si>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</si>
  <si>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</si>
  <si>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</si>
  <si>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</si>
  <si>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</si>
  <si>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</si>
  <si>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</si>
  <si>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</si>
  <si>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</si>
  <si>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</si>
  <si>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</si>
  <si>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</si>
  <si>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</si>
  <si>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</si>
  <si>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</si>
  <si>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</si>
  <si>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</si>
  <si>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</si>
  <si>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</si>
  <si>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</si>
  <si>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</si>
  <si>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</si>
  <si>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</si>
  <si>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</si>
  <si>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</si>
  <si>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</si>
  <si>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</si>
  <si>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</si>
  <si>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</si>
  <si>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</si>
  <si>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</si>
  <si>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</si>
  <si>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</si>
  <si>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</si>
  <si>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</si>
  <si>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</si>
  <si>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</si>
  <si>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</si>
  <si>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</si>
  <si>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</si>
  <si>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</si>
  <si>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</si>
  <si>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</si>
  <si>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</si>
  <si>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</si>
  <si>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</si>
  <si>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</si>
  <si>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</si>
  <si>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</si>
  <si>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</si>
  <si>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</si>
  <si>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</si>
  <si>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</si>
  <si>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</si>
  <si>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</si>
  <si>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</si>
  <si>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</si>
  <si>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</si>
  <si>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</si>
  <si>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</si>
  <si>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</si>
  <si>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</si>
  <si>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</si>
  <si>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</si>
  <si>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</si>
  <si>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</si>
  <si>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</si>
  <si>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</si>
  <si>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</si>
  <si>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</si>
  <si>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</si>
  <si>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</si>
  <si>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</si>
  <si>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</si>
  <si>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</si>
  <si>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</si>
  <si>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</si>
  <si>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</si>
  <si>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</si>
  <si>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</si>
  <si>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</si>
  <si>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</si>
  <si>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</si>
  <si>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</si>
  <si>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</si>
  <si>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</si>
  <si>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</si>
  <si>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</si>
  <si>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</si>
  <si>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</si>
  <si>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</si>
  <si>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</si>
  <si>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</si>
  <si>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</si>
  <si>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</si>
  <si>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</si>
  <si>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</si>
  <si>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</si>
  <si>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</si>
  <si>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</si>
  <si>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</si>
  <si>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</si>
  <si>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</si>
  <si>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</si>
  <si>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</si>
  <si>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</si>
  <si>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</si>
  <si>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</si>
  <si>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</si>
  <si>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</si>
  <si>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</si>
  <si>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</si>
  <si>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</si>
  <si>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</si>
  <si>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</si>
  <si>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</si>
  <si>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</si>
  <si>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</si>
  <si>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</si>
  <si>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</si>
  <si>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</si>
  <si>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</si>
  <si>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</si>
  <si>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</si>
  <si>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</si>
  <si>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</si>
  <si>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</si>
  <si>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</si>
  <si>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</si>
  <si>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</si>
  <si>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</si>
  <si>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</si>
  <si>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</si>
  <si>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</si>
  <si>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</si>
  <si>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</si>
  <si>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</si>
  <si>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</si>
  <si>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</si>
  <si>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</si>
  <si>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</si>
  <si>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</si>
  <si>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</si>
  <si>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</si>
  <si>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</si>
  <si>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</si>
  <si>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</si>
  <si>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</si>
  <si>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</si>
  <si>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</si>
  <si>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</si>
  <si>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</si>
  <si>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</si>
  <si>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</si>
  <si>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</si>
  <si>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</si>
  <si>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</si>
  <si>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</si>
  <si>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</si>
  <si>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</si>
  <si>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</si>
  <si>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</si>
  <si>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</si>
  <si>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</si>
  <si>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</si>
  <si>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</si>
  <si>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</si>
  <si>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</si>
  <si>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</si>
  <si>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</si>
  <si>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</si>
  <si>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</si>
  <si>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</si>
  <si>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</si>
  <si>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</si>
  <si>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</si>
  <si>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</si>
  <si>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</si>
  <si>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</si>
  <si>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</si>
  <si>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</si>
  <si>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</si>
  <si>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</si>
  <si>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</si>
  <si>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</si>
  <si>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</si>
  <si>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</si>
  <si>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</si>
  <si>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</si>
  <si>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</si>
  <si>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</si>
  <si>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</si>
  <si>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</si>
  <si>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</si>
  <si>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</si>
  <si>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</si>
  <si>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</si>
  <si>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</si>
  <si>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</si>
  <si>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</si>
  <si>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</si>
  <si>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</si>
  <si>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</si>
  <si>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</si>
  <si>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</si>
  <si>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</si>
  <si>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</si>
  <si>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</si>
  <si>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</si>
  <si>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</si>
  <si>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</si>
  <si>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</si>
  <si>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</si>
  <si>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</si>
  <si>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</si>
  <si>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</si>
  <si>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</si>
  <si>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</si>
  <si>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</si>
  <si>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</si>
  <si>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</si>
  <si>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</si>
  <si>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</si>
  <si>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</si>
  <si>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</si>
  <si>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</si>
  <si>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</si>
  <si>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</si>
  <si>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</si>
  <si>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</si>
  <si>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</si>
  <si>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</si>
  <si>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</si>
  <si>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</si>
  <si>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</si>
  <si>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</si>
  <si>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</si>
  <si>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</si>
  <si>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</si>
  <si>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</si>
  <si>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</si>
  <si>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</si>
  <si>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</si>
  <si>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</si>
  <si>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</si>
  <si>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</si>
  <si>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</si>
  <si>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</si>
  <si>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</si>
  <si>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</si>
  <si>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</si>
  <si>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</si>
  <si>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</si>
  <si>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</si>
  <si>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</si>
  <si>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</si>
  <si>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</si>
  <si>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</si>
  <si>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</si>
  <si>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</si>
  <si>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</si>
  <si>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</si>
  <si>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</si>
  <si>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</si>
  <si>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</si>
  <si>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</si>
  <si>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</si>
  <si>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</si>
  <si>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</si>
  <si>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</si>
  <si>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</si>
  <si>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</si>
  <si>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</si>
  <si>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</si>
  <si>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</si>
  <si>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</si>
  <si>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</si>
  <si>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</si>
  <si>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</si>
  <si>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</si>
  <si>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</si>
  <si>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</si>
  <si>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</si>
  <si>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</si>
  <si>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</si>
  <si>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</si>
  <si>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</si>
  <si>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</si>
  <si>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</si>
  <si>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</si>
  <si>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</si>
  <si>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</si>
  <si>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</si>
  <si>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</si>
  <si>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</si>
  <si>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</si>
  <si>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</si>
  <si>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</si>
  <si>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</si>
  <si>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</si>
  <si>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</si>
  <si>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</si>
  <si>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</si>
  <si>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</si>
  <si>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</si>
  <si>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</si>
  <si>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</si>
  <si>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</si>
  <si>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</si>
  <si>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</si>
  <si>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</si>
  <si>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</si>
  <si>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</si>
  <si>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</si>
  <si>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</si>
  <si>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</si>
  <si>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</si>
  <si>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</si>
  <si>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</si>
  <si>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</si>
  <si>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</si>
  <si>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</si>
  <si>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</si>
  <si>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</si>
  <si>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</si>
  <si>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</si>
  <si>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</si>
  <si>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</si>
  <si>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</si>
  <si>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</si>
  <si>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</si>
  <si>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</si>
  <si>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</si>
  <si>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</si>
  <si>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</si>
  <si>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</si>
  <si>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</si>
  <si>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</si>
  <si>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</si>
  <si>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</si>
  <si>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</si>
  <si>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</si>
  <si>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</si>
  <si>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</si>
  <si>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</si>
  <si>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</si>
  <si>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</si>
  <si>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</si>
  <si>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</si>
  <si>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</si>
  <si>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</si>
  <si>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</si>
  <si>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</si>
  <si>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</si>
  <si>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</si>
  <si>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</si>
  <si>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</si>
  <si>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</si>
  <si>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</si>
  <si>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</si>
  <si>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</si>
  <si>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</si>
  <si>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</si>
  <si>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</si>
  <si>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</si>
  <si>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</si>
  <si>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</si>
  <si>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</si>
  <si>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</si>
  <si>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</si>
  <si>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</si>
  <si>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</si>
  <si>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</si>
  <si>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</si>
  <si>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</si>
  <si>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</si>
  <si>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</si>
  <si>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</si>
  <si>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</si>
  <si>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</si>
  <si>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</si>
  <si>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</si>
  <si>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</si>
  <si>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</si>
  <si>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</si>
  <si>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</si>
  <si>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</si>
  <si>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</si>
  <si>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</si>
  <si>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</si>
  <si>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</si>
  <si>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</si>
  <si>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</si>
  <si>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</si>
  <si>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</si>
  <si>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</si>
  <si>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</si>
  <si>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</si>
  <si>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</si>
  <si>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</si>
  <si>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</si>
  <si>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</si>
  <si>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</si>
  <si>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</si>
  <si>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</si>
  <si>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</si>
  <si>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</si>
  <si>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</si>
  <si>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</si>
  <si>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</si>
  <si>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</si>
  <si>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</si>
  <si>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</si>
  <si>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</si>
  <si>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</si>
  <si>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</si>
  <si>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</si>
  <si>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</si>
  <si>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</si>
  <si>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</si>
  <si>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</si>
  <si>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</si>
  <si>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</si>
  <si>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</si>
  <si>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</si>
  <si>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</si>
  <si>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</si>
  <si>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</si>
  <si>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</si>
  <si>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</si>
  <si>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</si>
  <si>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</si>
  <si>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</si>
  <si>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</si>
  <si>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</si>
  <si>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</si>
  <si>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</si>
  <si>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</si>
  <si>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</si>
  <si>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</si>
  <si>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</si>
  <si>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</si>
  <si>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</si>
  <si>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</si>
  <si>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</si>
  <si>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</si>
  <si>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</si>
  <si>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</si>
  <si>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</si>
  <si>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</si>
  <si>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</si>
  <si>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</si>
  <si>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</si>
  <si>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</si>
  <si>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</si>
  <si>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</si>
  <si>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</si>
  <si>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</si>
  <si>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</si>
  <si>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</si>
  <si>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</si>
  <si>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</si>
  <si>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</si>
  <si>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</si>
  <si>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</si>
  <si>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</si>
  <si>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</si>
  <si>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</si>
  <si>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</si>
  <si>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</si>
  <si>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</si>
  <si>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</si>
  <si>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</si>
  <si>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</si>
  <si>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</si>
  <si>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</si>
  <si>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</si>
  <si>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</si>
  <si>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</si>
  <si>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</si>
  <si>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</si>
  <si>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</si>
  <si>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</si>
  <si>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</si>
  <si>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</si>
  <si>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</si>
  <si>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</si>
  <si>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</si>
  <si>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</si>
  <si>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</si>
  <si>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</si>
  <si>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</si>
  <si>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</si>
  <si>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</si>
  <si>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</si>
  <si>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</si>
  <si>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</si>
  <si>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</si>
  <si>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</si>
  <si>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</si>
  <si>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</si>
  <si>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</si>
  <si>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</si>
  <si>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</si>
  <si>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</si>
  <si>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</si>
  <si>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</si>
  <si>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</si>
  <si>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</si>
  <si>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</si>
  <si>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</si>
  <si>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</si>
  <si>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</si>
  <si>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</si>
  <si>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</si>
  <si>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</si>
  <si>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</si>
  <si>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</si>
  <si>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</si>
  <si>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</si>
  <si>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</si>
  <si>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</si>
  <si>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</si>
  <si>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</si>
  <si>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</si>
  <si>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</si>
  <si>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</si>
  <si>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</si>
  <si>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</si>
  <si>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</si>
  <si>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</si>
  <si>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</si>
  <si>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</si>
  <si>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</si>
  <si>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</si>
  <si>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</si>
  <si>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</si>
  <si>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</si>
  <si>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</si>
  <si>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</si>
  <si>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</si>
  <si>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</si>
  <si>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</si>
  <si>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</si>
  <si>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</si>
  <si>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</si>
  <si>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</si>
  <si>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</si>
  <si>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</si>
  <si>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</si>
  <si>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</si>
  <si>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</si>
  <si>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</si>
  <si>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</si>
  <si>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</si>
  <si>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</si>
  <si>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</si>
  <si>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</si>
  <si>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</si>
  <si>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</si>
  <si>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</si>
  <si>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</si>
  <si>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</si>
  <si>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</si>
  <si>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</si>
  <si>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</si>
  <si>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</si>
  <si>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</si>
  <si>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</si>
  <si>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</si>
  <si>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</si>
  <si>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</si>
  <si>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</si>
  <si>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</si>
  <si>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</si>
  <si>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</si>
  <si>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</si>
  <si>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</si>
  <si>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</si>
  <si>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</si>
  <si>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</si>
  <si>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</si>
  <si>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</si>
  <si>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</si>
  <si>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</si>
  <si>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</si>
  <si>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</si>
  <si>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</si>
  <si>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</si>
  <si>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</si>
  <si>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</si>
  <si>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</si>
  <si>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</si>
  <si>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</si>
  <si>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</si>
  <si>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</si>
  <si>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</si>
  <si>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</si>
  <si>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</si>
  <si>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</si>
  <si>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</si>
  <si>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</si>
  <si>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</si>
  <si>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</si>
  <si>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</si>
  <si>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</si>
  <si>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</si>
  <si>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</si>
  <si>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</si>
  <si>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</si>
  <si>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</si>
  <si>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</si>
  <si>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</si>
  <si>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</si>
  <si>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</si>
  <si>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</si>
  <si>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</si>
  <si>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</si>
  <si>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</si>
  <si>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</si>
  <si>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</si>
  <si>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</si>
  <si>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</si>
  <si>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</si>
  <si>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</si>
  <si>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</si>
  <si>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</si>
  <si>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</si>
  <si>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</si>
  <si>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</si>
  <si>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</si>
  <si>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</si>
  <si>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</si>
  <si>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</si>
  <si>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</si>
  <si>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</si>
  <si>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</si>
  <si>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</si>
  <si>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</si>
  <si>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</si>
  <si>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</si>
  <si>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</si>
  <si>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</si>
  <si>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</si>
  <si>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</si>
  <si>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</si>
  <si>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</si>
  <si>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</si>
  <si>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</si>
  <si>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</si>
  <si>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</si>
  <si>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</si>
  <si>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</si>
  <si>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</si>
  <si>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</si>
  <si>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</si>
  <si>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</si>
  <si>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</si>
  <si>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</si>
  <si>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</si>
  <si>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</si>
  <si>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</si>
  <si>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</si>
  <si>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</si>
  <si>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</si>
  <si>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</si>
  <si>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</si>
  <si>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</si>
  <si>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</si>
  <si>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</si>
  <si>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</si>
  <si>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</si>
  <si>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</si>
  <si>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</si>
  <si>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</si>
  <si>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</si>
  <si>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</si>
  <si>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</si>
  <si>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</si>
  <si>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</si>
  <si>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</si>
  <si>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</si>
  <si>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</si>
  <si>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</si>
  <si>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</si>
  <si>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</si>
  <si>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</si>
  <si>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</si>
  <si>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</si>
  <si>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</si>
  <si>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</si>
  <si>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</si>
  <si>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</si>
  <si>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</si>
  <si>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</si>
  <si>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</si>
  <si>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</si>
  <si>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</si>
  <si>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</si>
  <si>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</si>
  <si>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</si>
  <si>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</si>
  <si>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</si>
  <si>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</si>
  <si>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</si>
  <si>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</si>
  <si>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</si>
  <si>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</si>
  <si>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</si>
  <si>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</si>
  <si>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</si>
  <si>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</si>
  <si>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</si>
  <si>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</si>
  <si>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</si>
  <si>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</si>
  <si>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</si>
  <si>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</si>
  <si>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</si>
  <si>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</si>
  <si>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</si>
  <si>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</si>
  <si>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</si>
  <si>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</si>
  <si>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</si>
  <si>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</si>
  <si>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</si>
  <si>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</si>
  <si>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</si>
  <si>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</si>
  <si>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</si>
  <si>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</si>
  <si>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</si>
  <si>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</si>
  <si>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</si>
  <si>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</si>
  <si>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</si>
  <si>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</si>
  <si>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</si>
  <si>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</si>
  <si>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</si>
  <si>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</si>
  <si>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</si>
  <si>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</si>
  <si>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</si>
  <si>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</si>
  <si>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</si>
  <si>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</si>
  <si>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</si>
  <si>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</si>
  <si>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</si>
  <si>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</si>
  <si>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</si>
  <si>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</si>
  <si>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</si>
  <si>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</si>
  <si>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</si>
  <si>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</si>
  <si>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</si>
  <si>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</si>
  <si>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</si>
  <si>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</si>
  <si>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</si>
  <si>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</si>
  <si>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</si>
  <si>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</si>
  <si>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</si>
  <si>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</si>
  <si>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</si>
  <si>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</si>
  <si>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</si>
  <si>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</si>
  <si>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</si>
  <si>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</si>
  <si>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</si>
  <si>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</si>
  <si>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</si>
  <si>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</si>
  <si>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</si>
  <si>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</si>
  <si>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</si>
  <si>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</si>
  <si>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</si>
  <si>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</si>
  <si>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</si>
  <si>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</si>
  <si>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</si>
  <si>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</si>
  <si>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</si>
  <si>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</si>
  <si>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</si>
  <si>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</si>
  <si>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</si>
  <si>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</si>
  <si>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</si>
  <si>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</si>
  <si>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</si>
  <si>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</si>
  <si>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</si>
  <si>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</si>
  <si>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</si>
  <si>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</si>
  <si>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</si>
  <si>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</si>
  <si>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</si>
  <si>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</si>
  <si>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</si>
  <si>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</si>
  <si>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</si>
  <si>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</si>
  <si>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</si>
  <si>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</si>
  <si>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</si>
  <si>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</si>
  <si>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</si>
  <si>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</si>
  <si>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</si>
  <si>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</si>
  <si>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</si>
  <si>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</si>
  <si>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</si>
  <si>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</si>
  <si>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</si>
  <si>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</si>
  <si>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</si>
  <si>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</si>
  <si>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</si>
  <si>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</si>
  <si>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</si>
  <si>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</si>
  <si>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</si>
  <si>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</si>
  <si>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</si>
  <si>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</si>
  <si>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</si>
  <si>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</si>
  <si>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</si>
  <si>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</si>
  <si>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</si>
  <si>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</si>
  <si>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</si>
  <si>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</si>
  <si>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</si>
  <si>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</si>
  <si>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</si>
  <si>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</si>
  <si>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</si>
  <si>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</si>
  <si>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</si>
  <si>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</si>
  <si>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</si>
  <si>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</si>
  <si>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</si>
  <si>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</si>
  <si>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</si>
  <si>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</si>
  <si>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</si>
  <si>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</si>
  <si>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</si>
  <si>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</si>
  <si>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</si>
  <si>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</si>
  <si>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</si>
  <si>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</si>
  <si>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</si>
  <si>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</si>
  <si>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</si>
  <si>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</si>
  <si>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</si>
  <si>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</si>
  <si>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</si>
  <si>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</si>
  <si>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</si>
  <si>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</si>
  <si>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</si>
  <si>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</si>
  <si>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</si>
  <si>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</si>
  <si>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</si>
  <si>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</si>
  <si>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</si>
  <si>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</si>
  <si>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</si>
  <si>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</si>
  <si>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</si>
  <si>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</si>
  <si>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</si>
  <si>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</si>
  <si>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</si>
  <si>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</si>
  <si>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</si>
  <si>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Test Digital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</si>
</sst>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8"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
      <sz val="9"/>
      <color indexed="81"/>
      <name val="Tahoma"/>
      <charset val="1"/>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lignment horizontal="left" vertical="top" indent="4"/>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6" fillId="16" borderId="0" xfId="0" applyFont="1" applyFill="1" applyAlignment="1" applyProtection="1">
      <alignment horizontal="left"/>
      <protection locked="0"/>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0" fontId="22" fillId="16" borderId="0" xfId="0" applyFont="1" applyFill="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xf numFmtId="0" fontId="6" fillId="16" borderId="206" xfId="0" quotePrefix="1" applyFont="1" applyFill="1" applyBorder="1" applyAlignment="1">
      <alignment horizontal="center" vertical="top" wrapText="1"/>
    </xf>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1" formatCode="[$CAD]\ #,##0.00"/>
      <fill>
        <patternFill patternType="none">
          <bgColor auto="1"/>
        </patternFill>
      </fill>
    </dxf>
    <dxf>
      <numFmt numFmtId="165" formatCode="&quot;$&quot;#,##0.00"/>
    </dxf>
    <dxf>
      <numFmt numFmtId="180" formatCode="[$£-809]#,##0.00"/>
    </dxf>
    <dxf>
      <numFmt numFmtId="167" formatCode="[$$-409]#,##0.00"/>
    </dxf>
    <dxf>
      <numFmt numFmtId="167" formatCode="[$$-409]#,##0.00"/>
    </dxf>
    <dxf>
      <numFmt numFmtId="165" formatCode="&quot;$&quot;#,##0.00"/>
    </dxf>
    <dxf>
      <numFmt numFmtId="181" formatCode="[$CAD]\ #,##0.00"/>
      <fill>
        <patternFill patternType="none">
          <bgColor auto="1"/>
        </patternFill>
      </fill>
    </dxf>
    <dxf>
      <numFmt numFmtId="180" formatCode="[$£-809]#,##0.00"/>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10</xdr:row>
      <xdr:rowOff>266700</xdr:rowOff>
    </xdr:from>
    <xdr:to>
      <xdr:col>63</xdr:col>
      <xdr:colOff>215900</xdr:colOff>
      <xdr:row>11</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12</xdr:row>
      <xdr:rowOff>12700</xdr:rowOff>
    </xdr:from>
    <xdr:to>
      <xdr:col>69</xdr:col>
      <xdr:colOff>609600</xdr:colOff>
      <xdr:row>13</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10</xdr:row>
      <xdr:rowOff>266700</xdr:rowOff>
    </xdr:from>
    <xdr:to>
      <xdr:col>42</xdr:col>
      <xdr:colOff>215900</xdr:colOff>
      <xdr:row>11</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10</xdr:row>
      <xdr:rowOff>266700</xdr:rowOff>
    </xdr:from>
    <xdr:to>
      <xdr:col>31</xdr:col>
      <xdr:colOff>215900</xdr:colOff>
      <xdr:row>11</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10</xdr:row>
      <xdr:rowOff>266700</xdr:rowOff>
    </xdr:from>
    <xdr:to>
      <xdr:col>53</xdr:col>
      <xdr:colOff>215900</xdr:colOff>
      <xdr:row>11</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61"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91"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6" Type="http://schemas.microsoft.com/office/2019/04/relationships/namedSheetView" Target="../namedSheetViews/namedSheetView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9.xml.rels><?xml version="1.0" encoding="UTF-8" standalone="yes"?>
<Relationships xmlns="http://schemas.openxmlformats.org/package/2006/relationships"><Relationship Id="rId1" Type="http://schemas.microsoft.com/office/2019/04/relationships/namedSheetView" Target="../namedSheetViews/namedSheetView2.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12" t="s">
        <v>2360</v>
      </c>
      <c r="C8" s="1612"/>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11" t="s">
        <v>6</v>
      </c>
      <c r="C11" s="1611"/>
      <c r="D11" s="854"/>
      <c r="E11" s="854"/>
      <c r="F11" s="773"/>
      <c r="H11" s="771"/>
      <c r="W11" s="772"/>
    </row>
    <row r="12" spans="1:30" ht="14" x14ac:dyDescent="0.35">
      <c r="A12" s="769"/>
      <c r="B12" s="1611" t="s">
        <v>2359</v>
      </c>
      <c r="C12" s="1611"/>
      <c r="H12" s="476"/>
      <c r="W12" s="772"/>
    </row>
    <row r="13" spans="1:30" ht="14" customHeight="1" x14ac:dyDescent="0.35">
      <c r="A13" s="769"/>
      <c r="B13" s="1611" t="s">
        <v>2356</v>
      </c>
      <c r="C13" s="1611"/>
      <c r="H13" s="476"/>
      <c r="U13" s="774"/>
      <c r="W13" s="772"/>
    </row>
    <row r="14" spans="1:30" ht="14" customHeight="1" x14ac:dyDescent="0.35">
      <c r="A14" s="769"/>
      <c r="B14" s="1611" t="s">
        <v>3</v>
      </c>
      <c r="C14" s="1611"/>
      <c r="G14" s="775"/>
      <c r="H14" s="476"/>
      <c r="U14" s="770"/>
      <c r="W14" s="772"/>
    </row>
    <row r="15" spans="1:30" ht="14" customHeight="1" x14ac:dyDescent="0.35">
      <c r="A15" s="769"/>
      <c r="B15" s="1611" t="s">
        <v>5</v>
      </c>
      <c r="C15" s="1611"/>
      <c r="H15" s="476"/>
      <c r="U15" s="407"/>
      <c r="W15" s="772"/>
    </row>
    <row r="16" spans="1:30" ht="14" x14ac:dyDescent="0.35">
      <c r="A16" s="769"/>
      <c r="B16" s="1615" t="s">
        <v>2354</v>
      </c>
      <c r="C16" s="1615"/>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13" t="s">
        <v>2365</v>
      </c>
      <c r="C19" s="1613"/>
      <c r="H19" s="476"/>
      <c r="W19" s="772"/>
    </row>
    <row r="20" spans="1:23" ht="14" x14ac:dyDescent="0.35">
      <c r="A20" s="769"/>
      <c r="B20" s="1613" t="s">
        <v>2362</v>
      </c>
      <c r="C20" s="1613"/>
      <c r="H20" s="476"/>
      <c r="W20" s="772"/>
    </row>
    <row r="21" spans="1:23" ht="14" x14ac:dyDescent="0.35">
      <c r="A21" s="769"/>
      <c r="B21" s="1618" t="s">
        <v>2395</v>
      </c>
      <c r="C21" s="1619"/>
      <c r="H21" s="476"/>
      <c r="W21" s="772"/>
    </row>
    <row r="22" spans="1:23" ht="14" x14ac:dyDescent="0.35">
      <c r="A22" s="769"/>
      <c r="B22" s="1618" t="s">
        <v>2396</v>
      </c>
      <c r="C22" s="1619"/>
      <c r="H22" s="476"/>
      <c r="W22" s="772"/>
    </row>
    <row r="23" spans="1:23" ht="14" x14ac:dyDescent="0.35">
      <c r="A23" s="769"/>
      <c r="B23" s="1618" t="s">
        <v>2397</v>
      </c>
      <c r="C23" s="1619"/>
      <c r="H23" s="476"/>
      <c r="W23" s="772"/>
    </row>
    <row r="24" spans="1:23" ht="14" x14ac:dyDescent="0.35">
      <c r="A24" s="769"/>
      <c r="B24" s="1618" t="s">
        <v>2398</v>
      </c>
      <c r="C24" s="1619"/>
      <c r="W24" s="772"/>
    </row>
    <row r="25" spans="1:23" ht="14" x14ac:dyDescent="0.35">
      <c r="A25" s="769"/>
      <c r="B25" s="1616" t="s">
        <v>3188</v>
      </c>
      <c r="C25" s="1617"/>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14"/>
      <c r="F31" s="1614"/>
      <c r="G31" s="1614"/>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21" activePane="bottomLeft" state="frozen"/>
      <selection activeCell="G20" sqref="G20"/>
      <selection pane="bottomLeft" activeCell="C28" sqref="C28"/>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24" t="s">
        <v>0</v>
      </c>
      <c r="E2" s="1625"/>
      <c r="F2" s="1626"/>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41" t="s">
        <v>3250</v>
      </c>
      <c r="C7" s="1641"/>
      <c r="D7" s="1641"/>
      <c r="E7" s="1641"/>
      <c r="F7" s="1641"/>
      <c r="G7" s="848"/>
      <c r="H7" s="848"/>
      <c r="I7" s="848"/>
      <c r="L7" s="847"/>
    </row>
    <row r="8" spans="2:15" s="624" customFormat="1" ht="14" x14ac:dyDescent="0.35">
      <c r="B8" s="1647" t="s">
        <v>2310</v>
      </c>
      <c r="C8" s="1647"/>
      <c r="D8" s="1647"/>
      <c r="E8" s="1647"/>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48" t="s">
        <v>3252</v>
      </c>
      <c r="C10" s="1648"/>
      <c r="D10" s="1648"/>
      <c r="E10" s="1648"/>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32" t="s">
        <v>2167</v>
      </c>
      <c r="C16" s="1633"/>
      <c r="I16" s="413"/>
      <c r="J16" s="395"/>
      <c r="K16" s="395"/>
      <c r="L16" s="405"/>
    </row>
    <row r="17" spans="2:12" ht="20" customHeight="1" x14ac:dyDescent="0.35">
      <c r="B17" s="865" t="s">
        <v>15</v>
      </c>
      <c r="C17" s="866" t="s">
        <v>295</v>
      </c>
      <c r="D17" s="831"/>
      <c r="E17" s="1627" t="s">
        <v>2269</v>
      </c>
      <c r="F17" s="1628"/>
      <c r="G17" s="418"/>
      <c r="I17" s="416"/>
      <c r="J17" s="416"/>
      <c r="K17" s="416"/>
      <c r="L17" s="413"/>
    </row>
    <row r="18" spans="2:12" ht="24.5" customHeight="1" x14ac:dyDescent="0.35">
      <c r="B18" s="867" t="s">
        <v>1304</v>
      </c>
      <c r="C18" s="868" t="s">
        <v>1431</v>
      </c>
      <c r="D18" s="419"/>
      <c r="E18" s="1629"/>
      <c r="F18" s="1630"/>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2054">
        <v>1324</v>
      </c>
      <c r="D22" s="419"/>
      <c r="E22" s="1272" t="s">
        <v>2240</v>
      </c>
      <c r="F22" s="1268" t="s">
        <v>1279</v>
      </c>
      <c r="I22" s="413"/>
      <c r="J22" s="413"/>
      <c r="K22" s="413"/>
      <c r="L22" s="413"/>
    </row>
    <row r="23" spans="2:12" ht="20" customHeight="1" x14ac:dyDescent="0.35">
      <c r="B23" s="869" t="s">
        <v>22</v>
      </c>
      <c r="C23" s="868" t="s">
        <v>3691</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2195</v>
      </c>
      <c r="J31" s="395"/>
      <c r="K31" s="398"/>
    </row>
    <row r="32" spans="2:12" ht="20" customHeight="1" x14ac:dyDescent="0.35">
      <c r="B32" s="867" t="s">
        <v>2366</v>
      </c>
      <c r="C32" s="872" t="s">
        <v>2194</v>
      </c>
      <c r="D32" s="420"/>
      <c r="J32" s="395"/>
      <c r="K32" s="398"/>
    </row>
    <row r="33" spans="2:15" ht="26.25" customHeight="1" x14ac:dyDescent="0.35">
      <c r="B33" s="797" t="s">
        <v>2349</v>
      </c>
      <c r="C33" s="1649"/>
      <c r="D33" s="1649"/>
      <c r="E33" s="1649"/>
      <c r="F33" s="1649"/>
      <c r="G33" s="403"/>
      <c r="H33" s="403"/>
      <c r="I33" s="403"/>
      <c r="J33" s="427"/>
      <c r="K33" s="428"/>
      <c r="L33" s="403"/>
      <c r="M33" s="403"/>
      <c r="N33" s="428"/>
      <c r="O33" s="428"/>
    </row>
    <row r="34" spans="2:15" s="624" customFormat="1" ht="29" customHeight="1" x14ac:dyDescent="0.35">
      <c r="B34" s="1643" t="s">
        <v>2375</v>
      </c>
      <c r="C34" s="1643"/>
      <c r="D34" s="1643"/>
      <c r="E34" s="1643"/>
      <c r="F34" s="1643"/>
      <c r="G34" s="1262"/>
      <c r="H34" s="1262"/>
    </row>
    <row r="35" spans="2:15" s="624" customFormat="1" ht="29.5" customHeight="1" x14ac:dyDescent="0.35">
      <c r="B35" s="1644" t="s">
        <v>3200</v>
      </c>
      <c r="C35" s="1644"/>
      <c r="D35" s="1644"/>
      <c r="E35" s="1644"/>
      <c r="F35" s="1644"/>
      <c r="G35" s="1262"/>
      <c r="H35" s="1262"/>
    </row>
    <row r="36" spans="2:15" ht="14" x14ac:dyDescent="0.3">
      <c r="B36" s="1262"/>
      <c r="C36" s="1262"/>
      <c r="D36" s="1262"/>
      <c r="E36" s="1262"/>
      <c r="F36" s="1262"/>
      <c r="G36" s="1262"/>
      <c r="H36" s="1262"/>
      <c r="J36" s="395"/>
      <c r="K36" s="395"/>
      <c r="N36" s="395"/>
      <c r="O36" s="395"/>
    </row>
    <row r="37" spans="2:15" ht="16" customHeight="1" x14ac:dyDescent="0.35">
      <c r="B37" s="1634" t="s">
        <v>2313</v>
      </c>
      <c r="C37" s="1635"/>
      <c r="D37" s="397"/>
      <c r="E37" s="412"/>
      <c r="H37" s="397"/>
      <c r="I37" s="412"/>
      <c r="K37" s="395"/>
      <c r="L37" s="429"/>
      <c r="M37" s="429"/>
    </row>
    <row r="38" spans="2:15" x14ac:dyDescent="0.35">
      <c r="B38" s="1622" t="s">
        <v>3178</v>
      </c>
      <c r="C38" s="1623"/>
      <c r="D38" s="430"/>
      <c r="E38" s="1631"/>
      <c r="F38" s="431"/>
      <c r="G38" s="432"/>
      <c r="H38" s="397"/>
      <c r="I38" s="433"/>
      <c r="J38" s="433"/>
      <c r="K38" s="433"/>
      <c r="L38" s="433"/>
      <c r="M38" s="433"/>
    </row>
    <row r="39" spans="2:15" x14ac:dyDescent="0.35">
      <c r="B39" s="1636" t="s">
        <v>3179</v>
      </c>
      <c r="C39" s="1637"/>
      <c r="D39" s="430"/>
      <c r="E39" s="1631"/>
      <c r="F39" s="431"/>
      <c r="G39" s="432"/>
      <c r="H39" s="397"/>
      <c r="I39" s="434"/>
      <c r="J39" s="432"/>
      <c r="K39" s="425"/>
      <c r="L39" s="432"/>
      <c r="M39" s="435"/>
    </row>
    <row r="40" spans="2:15" ht="17.25" customHeight="1" x14ac:dyDescent="0.35">
      <c r="B40" s="1636" t="s">
        <v>3180</v>
      </c>
      <c r="C40" s="1637"/>
      <c r="D40" s="430"/>
      <c r="E40" s="1631"/>
      <c r="F40" s="431"/>
      <c r="G40" s="432"/>
      <c r="H40" s="397"/>
      <c r="I40" s="434"/>
      <c r="J40" s="432"/>
      <c r="K40" s="425"/>
      <c r="L40" s="432"/>
      <c r="M40" s="435"/>
    </row>
    <row r="41" spans="2:15" x14ac:dyDescent="0.35">
      <c r="B41" s="1636" t="s">
        <v>3181</v>
      </c>
      <c r="C41" s="1637"/>
      <c r="D41" s="430"/>
      <c r="E41" s="1631"/>
      <c r="F41" s="436"/>
      <c r="G41" s="432"/>
      <c r="H41" s="397"/>
      <c r="I41" s="434"/>
      <c r="J41" s="432"/>
      <c r="K41" s="425"/>
      <c r="L41" s="432"/>
      <c r="M41" s="435"/>
    </row>
    <row r="42" spans="2:15" x14ac:dyDescent="0.35">
      <c r="B42" s="1636" t="s">
        <v>3182</v>
      </c>
      <c r="C42" s="1637"/>
      <c r="D42" s="430"/>
      <c r="E42" s="1631"/>
      <c r="F42" s="436"/>
      <c r="G42" s="432"/>
      <c r="H42" s="397"/>
      <c r="I42" s="434"/>
      <c r="J42" s="432"/>
      <c r="K42" s="425"/>
      <c r="L42" s="432"/>
      <c r="M42" s="435"/>
    </row>
    <row r="43" spans="2:15" x14ac:dyDescent="0.35">
      <c r="B43" s="1636" t="s">
        <v>3183</v>
      </c>
      <c r="C43" s="1637"/>
      <c r="D43" s="430"/>
      <c r="E43" s="1631"/>
      <c r="F43" s="436"/>
      <c r="G43" s="432"/>
      <c r="H43" s="397"/>
      <c r="I43" s="434"/>
      <c r="J43" s="432"/>
      <c r="K43" s="425"/>
      <c r="L43" s="432"/>
      <c r="M43" s="435"/>
    </row>
    <row r="44" spans="2:15" x14ac:dyDescent="0.35">
      <c r="B44" s="1620" t="s">
        <v>2242</v>
      </c>
      <c r="C44" s="1621"/>
      <c r="D44" s="430"/>
      <c r="E44" s="1631"/>
      <c r="F44" s="436"/>
      <c r="G44" s="432"/>
      <c r="H44" s="397"/>
      <c r="I44" s="434"/>
      <c r="J44" s="432"/>
      <c r="K44" s="437"/>
      <c r="L44" s="432"/>
      <c r="M44" s="435"/>
    </row>
    <row r="45" spans="2:15" x14ac:dyDescent="0.35">
      <c r="B45" s="1620" t="s">
        <v>2243</v>
      </c>
      <c r="C45" s="1621"/>
      <c r="D45" s="430"/>
      <c r="E45" s="1631"/>
      <c r="F45" s="436"/>
      <c r="G45" s="432"/>
      <c r="H45" s="397"/>
      <c r="I45" s="438"/>
      <c r="J45" s="432"/>
      <c r="K45" s="437"/>
      <c r="L45" s="432"/>
      <c r="M45" s="437"/>
    </row>
    <row r="46" spans="2:15" x14ac:dyDescent="0.35">
      <c r="B46" s="1620" t="s">
        <v>2244</v>
      </c>
      <c r="C46" s="1621"/>
      <c r="D46" s="430"/>
      <c r="E46" s="1631"/>
      <c r="F46" s="436"/>
      <c r="G46" s="432"/>
      <c r="H46" s="397"/>
      <c r="J46" s="397"/>
      <c r="K46" s="395"/>
    </row>
    <row r="47" spans="2:15" x14ac:dyDescent="0.35">
      <c r="B47" s="1620" t="s">
        <v>2245</v>
      </c>
      <c r="C47" s="1621"/>
      <c r="D47" s="430"/>
      <c r="E47" s="1631"/>
      <c r="F47" s="436"/>
      <c r="G47" s="432"/>
      <c r="H47" s="397"/>
      <c r="I47" s="439"/>
      <c r="J47" s="395"/>
      <c r="K47" s="395"/>
    </row>
    <row r="48" spans="2:15" x14ac:dyDescent="0.35">
      <c r="B48" s="1620" t="s">
        <v>2246</v>
      </c>
      <c r="C48" s="1621"/>
      <c r="D48" s="430"/>
      <c r="E48" s="440"/>
      <c r="F48" s="441"/>
      <c r="G48" s="442"/>
      <c r="H48" s="397"/>
      <c r="I48" s="413"/>
      <c r="J48" s="443"/>
      <c r="K48" s="443"/>
      <c r="L48" s="413"/>
      <c r="M48" s="413"/>
    </row>
    <row r="49" spans="2:15" x14ac:dyDescent="0.35">
      <c r="B49" s="1620" t="s">
        <v>2247</v>
      </c>
      <c r="C49" s="1621"/>
      <c r="D49" s="430"/>
      <c r="E49" s="440"/>
      <c r="F49" s="441"/>
      <c r="G49" s="442"/>
      <c r="H49" s="397"/>
      <c r="I49" s="413"/>
      <c r="J49" s="443"/>
      <c r="K49" s="443"/>
      <c r="L49" s="413"/>
      <c r="M49" s="413"/>
    </row>
    <row r="50" spans="2:15" x14ac:dyDescent="0.35">
      <c r="B50" s="1620" t="s">
        <v>2248</v>
      </c>
      <c r="C50" s="1621"/>
      <c r="D50" s="430"/>
      <c r="E50" s="440"/>
      <c r="F50" s="441"/>
      <c r="G50" s="442"/>
      <c r="H50" s="397"/>
      <c r="I50" s="413"/>
      <c r="J50" s="443"/>
      <c r="K50" s="443"/>
      <c r="L50" s="413"/>
      <c r="M50" s="413"/>
    </row>
    <row r="51" spans="2:15" x14ac:dyDescent="0.35">
      <c r="B51" s="1620" t="s">
        <v>2249</v>
      </c>
      <c r="C51" s="1621"/>
      <c r="D51" s="430"/>
      <c r="E51" s="440"/>
      <c r="F51" s="441"/>
      <c r="G51" s="442"/>
      <c r="H51" s="397"/>
      <c r="I51" s="413"/>
      <c r="J51" s="443"/>
      <c r="K51" s="443"/>
      <c r="L51" s="413"/>
      <c r="M51" s="413"/>
    </row>
    <row r="52" spans="2:15" x14ac:dyDescent="0.35">
      <c r="B52" s="1620" t="s">
        <v>2250</v>
      </c>
      <c r="C52" s="1621"/>
      <c r="D52" s="430"/>
      <c r="E52" s="440"/>
      <c r="F52" s="441"/>
      <c r="G52" s="442"/>
      <c r="H52" s="397"/>
      <c r="I52" s="413"/>
      <c r="J52" s="443"/>
      <c r="K52" s="443"/>
      <c r="L52" s="413"/>
      <c r="M52" s="413"/>
    </row>
    <row r="53" spans="2:15" x14ac:dyDescent="0.35">
      <c r="B53" s="1620" t="s">
        <v>2251</v>
      </c>
      <c r="C53" s="1621"/>
      <c r="D53" s="430"/>
      <c r="E53" s="440"/>
      <c r="F53" s="441"/>
      <c r="G53" s="442"/>
      <c r="H53" s="397"/>
      <c r="I53" s="413"/>
      <c r="J53" s="443"/>
      <c r="K53" s="443"/>
      <c r="L53" s="413"/>
      <c r="M53" s="413"/>
    </row>
    <row r="54" spans="2:15" x14ac:dyDescent="0.35">
      <c r="B54" s="1620" t="s">
        <v>2252</v>
      </c>
      <c r="C54" s="1621"/>
      <c r="D54" s="430"/>
      <c r="E54" s="440"/>
      <c r="F54" s="441"/>
      <c r="G54" s="442"/>
      <c r="H54" s="397"/>
      <c r="I54" s="413"/>
      <c r="J54" s="443"/>
      <c r="K54" s="443"/>
      <c r="L54" s="413"/>
      <c r="M54" s="413"/>
    </row>
    <row r="55" spans="2:15" x14ac:dyDescent="0.35">
      <c r="B55" s="1620" t="s">
        <v>2253</v>
      </c>
      <c r="C55" s="1621"/>
      <c r="D55" s="430"/>
      <c r="E55" s="440"/>
      <c r="F55" s="441"/>
      <c r="G55" s="442"/>
      <c r="H55" s="397"/>
      <c r="I55" s="413"/>
      <c r="J55" s="443"/>
      <c r="K55" s="443"/>
      <c r="L55" s="413"/>
      <c r="M55" s="413"/>
    </row>
    <row r="56" spans="2:15" x14ac:dyDescent="0.35">
      <c r="B56" s="1620" t="s">
        <v>2254</v>
      </c>
      <c r="C56" s="1621"/>
      <c r="D56" s="430"/>
      <c r="E56" s="440"/>
      <c r="F56" s="441"/>
      <c r="G56" s="442"/>
      <c r="H56" s="397"/>
      <c r="I56" s="413"/>
      <c r="J56" s="443"/>
      <c r="K56" s="443"/>
      <c r="L56" s="413"/>
      <c r="M56" s="413"/>
    </row>
    <row r="57" spans="2:15" x14ac:dyDescent="0.35">
      <c r="B57" s="1645" t="s">
        <v>2255</v>
      </c>
      <c r="C57" s="1646"/>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38" t="s">
        <v>3177</v>
      </c>
      <c r="C60" s="1638"/>
      <c r="D60" s="1638"/>
      <c r="E60" s="1638"/>
      <c r="F60" s="1214"/>
      <c r="G60" s="1214"/>
      <c r="H60" s="1209"/>
      <c r="I60" s="838"/>
      <c r="J60" s="849"/>
      <c r="K60" s="850"/>
      <c r="L60" s="838"/>
      <c r="M60" s="838"/>
      <c r="N60" s="851"/>
      <c r="O60" s="851"/>
    </row>
    <row r="61" spans="2:15" s="624" customFormat="1" x14ac:dyDescent="0.35">
      <c r="B61" s="1642" t="s">
        <v>2404</v>
      </c>
      <c r="C61" s="1642"/>
      <c r="D61" s="1642"/>
      <c r="E61" s="1642"/>
      <c r="F61" s="1642"/>
      <c r="G61" s="1642"/>
      <c r="H61" s="1642"/>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39" t="s">
        <v>2163</v>
      </c>
      <c r="C63" s="1640"/>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2695312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26953125" style="2" bestFit="1" customWidth="1"/>
    <col min="111" max="111" width="34.7265625" style="2" bestFit="1" customWidth="1"/>
    <col min="112" max="16384" width="8.81640625" style="2"/>
  </cols>
  <sheetData>
    <row r="1" spans="1:113" s="469" customFormat="1" ht="13" customHeight="1" x14ac:dyDescent="0.3">
      <c r="B1" s="1650" t="s">
        <v>231</v>
      </c>
      <c r="C1" s="1650"/>
      <c r="D1" s="1650"/>
      <c r="E1" s="1650"/>
      <c r="F1" s="1650"/>
      <c r="J1" s="757"/>
      <c r="BS1" s="758"/>
      <c r="CM1" s="1575"/>
    </row>
    <row r="2" spans="1:113" s="469" customFormat="1" ht="13" customHeight="1" x14ac:dyDescent="0.3">
      <c r="B2" s="1650"/>
      <c r="C2" s="1650"/>
      <c r="D2" s="1650"/>
      <c r="E2" s="1650"/>
      <c r="F2" s="1650"/>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2048" t="s">
        <v>233</v>
      </c>
      <c r="C4" s="2048"/>
      <c r="D4" s="2048"/>
      <c r="E4" s="2048"/>
      <c r="F4" s="2048"/>
      <c r="G4" s="2048" t="s">
        <v>234</v>
      </c>
      <c r="H4" s="2048"/>
      <c r="I4" s="2048" t="s">
        <v>234</v>
      </c>
      <c r="J4" s="2049"/>
      <c r="K4" s="31"/>
      <c r="L4" s="2048"/>
      <c r="M4" s="2048"/>
      <c r="N4" s="2048"/>
      <c r="O4" s="2048"/>
      <c r="P4" s="2048"/>
      <c r="Q4" s="31"/>
      <c r="R4" s="31"/>
      <c r="S4" s="31"/>
      <c r="T4" s="31"/>
      <c r="U4" s="31"/>
      <c r="AN4" s="1211"/>
      <c r="AT4" s="1211"/>
      <c r="AU4" s="1211"/>
      <c r="AV4" s="1211"/>
      <c r="AW4" s="1211"/>
      <c r="AX4" s="1211"/>
      <c r="BN4" s="2" t="s">
        <v>2095</v>
      </c>
      <c r="CG4" s="1211"/>
      <c r="CH4" s="1211"/>
      <c r="CI4" s="1211"/>
      <c r="CJ4" s="1211"/>
      <c r="CK4" s="1211"/>
      <c r="CL4" s="1211"/>
      <c r="CM4" s="2052"/>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2050"/>
      <c r="BN5" s="2050"/>
      <c r="BO5" s="2050"/>
      <c r="BP5" s="2050"/>
      <c r="BQ5" s="2050"/>
      <c r="BR5" s="2050"/>
      <c r="BS5" s="2051"/>
      <c r="BT5" s="2050"/>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21"/>
  <sheetViews>
    <sheetView showGridLines="0" topLeftCell="D1" zoomScale="85" zoomScaleNormal="85" workbookViewId="0">
      <pane ySplit="4" topLeftCell="A286" activePane="bottomLeft" state="frozen"/>
      <selection activeCell="G20" sqref="G20"/>
      <selection pane="bottomLeft" activeCell="AB171" sqref="Y171:AB171"/>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7265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697"/>
      <c r="AI1" s="1697"/>
      <c r="AJ1" s="1697"/>
    </row>
    <row r="2" spans="1:152" s="469" customFormat="1" ht="25.5" x14ac:dyDescent="0.3">
      <c r="C2" s="855" t="s">
        <v>2376</v>
      </c>
      <c r="F2" s="1699" t="s">
        <v>0</v>
      </c>
      <c r="G2" s="1699"/>
      <c r="H2" s="1699"/>
      <c r="I2" s="1699"/>
      <c r="J2" s="1699"/>
      <c r="K2" s="1699"/>
      <c r="L2" s="1703" t="s">
        <v>2241</v>
      </c>
      <c r="M2" s="1703"/>
      <c r="Q2" s="1706" t="s">
        <v>1677</v>
      </c>
      <c r="R2" s="1706"/>
      <c r="S2" s="1706"/>
      <c r="T2" s="1706"/>
      <c r="U2" s="1706"/>
      <c r="V2" s="1706"/>
      <c r="W2" s="1706"/>
      <c r="X2" s="1706"/>
      <c r="Y2" s="1706"/>
      <c r="AH2" s="470"/>
      <c r="AI2" s="471"/>
      <c r="AJ2" s="471"/>
    </row>
    <row r="3" spans="1:152" s="472" customFormat="1" ht="28" customHeight="1" x14ac:dyDescent="0.35">
      <c r="C3" s="1694" t="s">
        <v>2403</v>
      </c>
      <c r="D3" s="1694"/>
      <c r="F3" s="832" t="s">
        <v>2159</v>
      </c>
      <c r="G3" s="743"/>
      <c r="H3" s="743"/>
      <c r="I3" s="742" t="s">
        <v>2260</v>
      </c>
      <c r="J3" s="836" t="s">
        <v>2239</v>
      </c>
      <c r="K3" s="836" t="s">
        <v>2239</v>
      </c>
      <c r="L3" s="1704" t="str">
        <f>IF('5. Import Checklist'!C14="ROPE Ready for Upload",'5. Import Checklist'!C14,"ROPE INCOMPLETE -- WILL NOT UPLOAD")</f>
        <v>ROPE Ready for Upload</v>
      </c>
      <c r="M3" s="1705"/>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00" t="s">
        <v>2315</v>
      </c>
      <c r="D7" s="1700"/>
      <c r="E7" s="1700"/>
      <c r="F7" s="1700"/>
      <c r="G7" s="1700"/>
      <c r="H7" s="1701"/>
      <c r="I7" s="1700"/>
      <c r="J7" s="837"/>
      <c r="K7" s="1641" t="s">
        <v>13</v>
      </c>
      <c r="L7" s="1641"/>
      <c r="M7" s="1641"/>
      <c r="N7" s="1641"/>
      <c r="O7" s="1641"/>
      <c r="P7" s="1641"/>
      <c r="Q7" s="1641"/>
      <c r="R7" s="779"/>
      <c r="S7" s="1210"/>
      <c r="AH7" s="787"/>
      <c r="AI7" s="846"/>
      <c r="AJ7" s="846"/>
    </row>
    <row r="8" spans="1:152" s="624" customFormat="1" x14ac:dyDescent="0.35">
      <c r="C8" s="1708" t="s">
        <v>3242</v>
      </c>
      <c r="D8" s="1708"/>
      <c r="E8" s="1708"/>
      <c r="F8" s="1708"/>
      <c r="G8" s="1708"/>
      <c r="H8" s="1708"/>
      <c r="I8" s="1708"/>
      <c r="J8" s="1708"/>
      <c r="K8" s="1708"/>
      <c r="L8" s="1708"/>
      <c r="M8" s="1708"/>
      <c r="N8" s="1708"/>
      <c r="O8" s="779"/>
      <c r="P8" s="779"/>
      <c r="Q8" s="779"/>
      <c r="R8" s="779"/>
      <c r="S8" s="1210"/>
      <c r="AH8" s="787"/>
      <c r="AI8" s="846"/>
      <c r="AJ8" s="846"/>
    </row>
    <row r="9" spans="1:152" s="624" customFormat="1" x14ac:dyDescent="0.35">
      <c r="C9" s="1708" t="s">
        <v>3201</v>
      </c>
      <c r="D9" s="1708"/>
      <c r="E9" s="1708"/>
      <c r="F9" s="1708"/>
      <c r="G9" s="1708"/>
      <c r="H9" s="1708"/>
      <c r="I9" s="1708"/>
      <c r="J9" s="1708"/>
      <c r="K9" s="1708"/>
      <c r="L9" s="1708"/>
      <c r="M9" s="1708"/>
      <c r="N9" s="1708"/>
      <c r="O9" s="791"/>
      <c r="P9" s="791"/>
      <c r="Q9" s="405"/>
      <c r="R9" s="405"/>
      <c r="S9" s="1217"/>
      <c r="AH9" s="787"/>
      <c r="AI9" s="846"/>
      <c r="AJ9" s="846"/>
    </row>
    <row r="10" spans="1:152" s="624" customFormat="1" ht="14" customHeight="1" x14ac:dyDescent="0.35">
      <c r="C10" s="1708" t="s">
        <v>3243</v>
      </c>
      <c r="D10" s="1708"/>
      <c r="E10" s="1708"/>
      <c r="F10" s="1708"/>
      <c r="G10" s="1708"/>
      <c r="H10" s="1708"/>
      <c r="I10" s="1708"/>
      <c r="J10" s="1708"/>
      <c r="K10" s="1708"/>
      <c r="L10" s="1708"/>
      <c r="M10" s="1708"/>
      <c r="N10" s="1708"/>
      <c r="O10" s="779"/>
      <c r="P10" s="779"/>
      <c r="Q10" s="405"/>
      <c r="R10" s="405"/>
      <c r="S10" s="1217"/>
      <c r="AH10" s="787"/>
      <c r="AI10" s="846"/>
      <c r="AJ10" s="846"/>
    </row>
    <row r="11" spans="1:152" s="624" customFormat="1" x14ac:dyDescent="0.35">
      <c r="C11" s="1708" t="s">
        <v>3244</v>
      </c>
      <c r="D11" s="1708"/>
      <c r="E11" s="1708"/>
      <c r="F11" s="1708"/>
      <c r="G11" s="1708"/>
      <c r="H11" s="1708"/>
      <c r="I11" s="1708"/>
      <c r="J11" s="1708"/>
      <c r="K11" s="1708"/>
      <c r="L11" s="1708"/>
      <c r="M11" s="1708"/>
      <c r="N11" s="1708"/>
      <c r="O11" s="1468"/>
      <c r="P11" s="1468"/>
      <c r="Q11" s="405"/>
      <c r="R11" s="405"/>
      <c r="S11" s="1217"/>
      <c r="AH11" s="787"/>
      <c r="AI11" s="846"/>
      <c r="AJ11" s="846"/>
    </row>
    <row r="12" spans="1:152" s="624" customFormat="1" x14ac:dyDescent="0.35">
      <c r="C12" s="1707" t="s">
        <v>3245</v>
      </c>
      <c r="D12" s="1707"/>
      <c r="E12" s="1707"/>
      <c r="F12" s="1707"/>
      <c r="G12" s="1707"/>
      <c r="H12" s="1707"/>
      <c r="I12" s="1707"/>
      <c r="J12" s="1707"/>
      <c r="K12" s="1707"/>
      <c r="L12" s="1707"/>
      <c r="M12" s="1707"/>
      <c r="N12" s="1707"/>
      <c r="O12" s="1707"/>
      <c r="P12" s="1707"/>
      <c r="Q12" s="1707"/>
      <c r="R12" s="1707"/>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02" t="s">
        <v>3246</v>
      </c>
      <c r="D15" s="1702"/>
      <c r="E15" s="1702"/>
      <c r="F15" s="1702"/>
      <c r="G15" s="1702"/>
      <c r="H15" s="1702"/>
      <c r="I15" s="1702"/>
      <c r="AH15" s="845"/>
      <c r="AI15" s="846"/>
      <c r="AJ15" s="846"/>
    </row>
    <row r="16" spans="1:152" x14ac:dyDescent="0.3">
      <c r="AH16" s="404"/>
      <c r="AI16" s="477"/>
      <c r="AJ16" s="477"/>
    </row>
    <row r="17" spans="3:97" ht="23.5" customHeight="1" x14ac:dyDescent="0.3">
      <c r="C17" s="1689" t="s">
        <v>2199</v>
      </c>
      <c r="D17" s="1690"/>
      <c r="E17" s="1690"/>
      <c r="F17" s="1691"/>
      <c r="G17" s="479"/>
      <c r="H17" s="479"/>
      <c r="J17" s="479"/>
      <c r="K17" s="480"/>
      <c r="L17" s="480"/>
      <c r="M17" s="480"/>
      <c r="N17" s="480"/>
      <c r="O17" s="1695"/>
      <c r="P17" s="1695"/>
      <c r="Q17" s="1695"/>
      <c r="R17" s="1695"/>
      <c r="S17" s="1695"/>
      <c r="T17" s="1695"/>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18" t="s">
        <v>15</v>
      </c>
      <c r="D18" s="1718"/>
      <c r="E18" s="1657" t="str">
        <f>'1. Project Inputs'!C17</f>
        <v>Dallas</v>
      </c>
      <c r="F18" s="1658"/>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19" t="s">
        <v>1304</v>
      </c>
      <c r="D19" s="1719"/>
      <c r="E19" s="1659" t="str">
        <f>'1. Project Inputs'!C18</f>
        <v>C Spire</v>
      </c>
      <c r="F19" s="1660"/>
      <c r="G19" s="491"/>
      <c r="H19" s="491"/>
      <c r="I19" s="491"/>
      <c r="J19" s="491"/>
      <c r="K19" s="413"/>
      <c r="L19" s="1607" t="s">
        <v>2021</v>
      </c>
      <c r="M19" s="1608">
        <f>'3. Financial Inputs'!C67</f>
        <v>61280</v>
      </c>
      <c r="N19" s="413"/>
      <c r="O19" s="492"/>
      <c r="P19" s="492"/>
      <c r="Q19" s="492"/>
      <c r="R19" s="492"/>
      <c r="S19" s="492"/>
      <c r="T19" s="795"/>
      <c r="U19" s="795"/>
      <c r="V19" s="795"/>
      <c r="W19" s="398"/>
      <c r="X19" s="398"/>
      <c r="Y19" s="493"/>
      <c r="Z19" s="493"/>
      <c r="AH19" s="492"/>
      <c r="AI19" s="1698"/>
      <c r="AJ19" s="1698"/>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19" t="s">
        <v>3573</v>
      </c>
      <c r="D20" s="1719"/>
      <c r="E20" s="1659" t="str">
        <f>'1. Project Inputs'!C19</f>
        <v>TA Digital</v>
      </c>
      <c r="F20" s="1660"/>
      <c r="G20" s="488"/>
      <c r="H20" s="488"/>
      <c r="I20" s="488"/>
      <c r="J20" s="488"/>
      <c r="K20" s="494"/>
      <c r="L20" s="1607"/>
      <c r="M20" s="1609"/>
      <c r="N20" s="494"/>
      <c r="O20" s="804"/>
      <c r="P20" s="804"/>
      <c r="Q20" s="804"/>
      <c r="R20" s="804"/>
      <c r="S20" s="804"/>
      <c r="T20" s="496"/>
      <c r="U20" s="496"/>
      <c r="V20" s="399"/>
      <c r="W20" s="399"/>
      <c r="X20" s="399"/>
      <c r="Y20" s="399"/>
      <c r="Z20" s="496"/>
      <c r="AH20" s="495"/>
      <c r="AI20" s="1696"/>
      <c r="AJ20" s="1696"/>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19" t="s">
        <v>19</v>
      </c>
      <c r="D21" s="1719"/>
      <c r="E21" s="1659" t="str">
        <f>'1. Project Inputs'!C19</f>
        <v>TA Digital</v>
      </c>
      <c r="F21" s="1660"/>
      <c r="G21" s="488"/>
      <c r="H21" s="488"/>
      <c r="I21" s="488"/>
      <c r="J21" s="488"/>
      <c r="K21" s="494"/>
      <c r="L21" s="1607" t="s">
        <v>3299</v>
      </c>
      <c r="M21" s="1610">
        <f>'4. Summary &amp; Totals'!C45</f>
        <v>787521</v>
      </c>
      <c r="N21" s="494"/>
      <c r="O21" s="804"/>
      <c r="P21" s="804"/>
      <c r="Q21" s="804"/>
      <c r="R21" s="804"/>
      <c r="S21" s="804"/>
      <c r="T21" s="496"/>
      <c r="U21" s="496"/>
      <c r="V21" s="399"/>
      <c r="W21" s="399"/>
      <c r="X21" s="399"/>
      <c r="Y21" s="399"/>
      <c r="Z21" s="496"/>
      <c r="AH21" s="495"/>
      <c r="AI21" s="1696"/>
      <c r="AJ21" s="1696"/>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19" t="s">
        <v>3212</v>
      </c>
      <c r="D22" s="1719"/>
      <c r="E22" s="1659" t="str">
        <f>'1. Project Inputs'!C20</f>
        <v>No</v>
      </c>
      <c r="F22" s="1660"/>
      <c r="G22" s="488"/>
      <c r="H22" s="488"/>
      <c r="I22" s="488"/>
      <c r="J22" s="488"/>
      <c r="K22" s="494"/>
      <c r="L22" s="1607" t="s">
        <v>1673</v>
      </c>
      <c r="M22" s="1609">
        <f>'4. Summary &amp; Totals'!C37</f>
        <v>0.53970619544390042</v>
      </c>
      <c r="N22" s="494"/>
      <c r="O22" s="804"/>
      <c r="P22" s="804"/>
      <c r="Q22" s="804"/>
      <c r="R22" s="804"/>
      <c r="S22" s="804"/>
      <c r="T22" s="496"/>
      <c r="U22" s="496"/>
      <c r="V22" s="399"/>
      <c r="W22" s="399"/>
      <c r="X22" s="399"/>
      <c r="Y22" s="399"/>
      <c r="Z22" s="496"/>
      <c r="AH22" s="495"/>
      <c r="AI22" s="1696"/>
      <c r="AJ22" s="1696"/>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20" t="s">
        <v>2064</v>
      </c>
      <c r="D23" s="1720"/>
      <c r="E23" s="1659">
        <f>'1. Project Inputs'!C22</f>
        <v>1324</v>
      </c>
      <c r="F23" s="1660"/>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696"/>
      <c r="AJ23" s="1696"/>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20" t="s">
        <v>22</v>
      </c>
      <c r="D24" s="1720"/>
      <c r="E24" s="1659" t="str">
        <f>'1. Project Inputs'!C23</f>
        <v>Test Digital Project</v>
      </c>
      <c r="F24" s="1660"/>
      <c r="G24" s="488"/>
      <c r="H24" s="488"/>
      <c r="I24" s="488"/>
      <c r="J24" s="488"/>
      <c r="K24" s="484"/>
      <c r="L24" s="1607"/>
      <c r="M24" s="1607"/>
      <c r="N24" s="484"/>
      <c r="O24" s="804"/>
      <c r="P24" s="804"/>
      <c r="Q24" s="804"/>
      <c r="R24" s="804"/>
      <c r="S24" s="804"/>
      <c r="T24" s="496"/>
      <c r="U24" s="496"/>
      <c r="V24" s="399"/>
      <c r="W24" s="399"/>
      <c r="X24" s="399"/>
      <c r="Y24" s="399"/>
      <c r="Z24" s="496"/>
      <c r="AC24" s="1712" t="s">
        <v>100</v>
      </c>
      <c r="AD24" s="1712"/>
      <c r="AE24" s="1712"/>
      <c r="AF24" s="1712"/>
      <c r="AH24" s="495"/>
      <c r="AI24" s="1696"/>
      <c r="AJ24" s="1696"/>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20" t="s">
        <v>23</v>
      </c>
      <c r="D25" s="1720"/>
      <c r="E25" s="1657" t="str">
        <f>'1. Project Inputs'!C24</f>
        <v>Digital - Systems Implementation</v>
      </c>
      <c r="F25" s="1658"/>
      <c r="G25" s="488"/>
      <c r="H25" s="488"/>
      <c r="I25" s="488"/>
      <c r="J25" s="488"/>
      <c r="K25" s="413"/>
      <c r="L25" s="413"/>
      <c r="M25" s="413"/>
      <c r="N25" s="413"/>
      <c r="O25" s="804"/>
      <c r="P25" s="804"/>
      <c r="Q25" s="804"/>
      <c r="R25" s="804"/>
      <c r="S25" s="804"/>
      <c r="T25" s="496"/>
      <c r="U25" s="496"/>
      <c r="V25" s="399"/>
      <c r="W25" s="399"/>
      <c r="X25" s="399"/>
      <c r="Y25" s="399"/>
      <c r="Z25" s="496"/>
      <c r="AB25" s="466"/>
      <c r="AC25" s="1712"/>
      <c r="AD25" s="1712"/>
      <c r="AE25" s="1712"/>
      <c r="AF25" s="1712"/>
      <c r="AH25" s="495"/>
      <c r="AI25" s="1696"/>
      <c r="AJ25" s="1696"/>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20" t="s">
        <v>24</v>
      </c>
      <c r="D26" s="1720"/>
      <c r="E26" s="1657" t="str">
        <f>'1. Project Inputs'!C25</f>
        <v>Standard Rates</v>
      </c>
      <c r="F26" s="1658"/>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696"/>
      <c r="AJ26" s="1696"/>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21" t="s">
        <v>2311</v>
      </c>
      <c r="D27" s="1721"/>
      <c r="E27" s="1659" t="str">
        <f>IF(ISBLANK('1. Project Inputs'!C26)," ",'1. Project Inputs'!C26)</f>
        <v xml:space="preserve"> </v>
      </c>
      <c r="F27" s="1660"/>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696"/>
      <c r="AJ27" s="1696"/>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19" t="s">
        <v>1890</v>
      </c>
      <c r="D28" s="1719"/>
      <c r="E28" s="1661">
        <f>'1. Project Inputs'!C27</f>
        <v>45916</v>
      </c>
      <c r="F28" s="1662"/>
      <c r="G28" s="500"/>
      <c r="H28" s="500"/>
      <c r="I28" s="500"/>
      <c r="J28" s="500"/>
      <c r="K28" s="499"/>
      <c r="L28" s="499"/>
      <c r="M28" s="499"/>
      <c r="N28" s="499"/>
      <c r="O28" s="804"/>
      <c r="P28" s="804"/>
      <c r="Q28" s="804"/>
      <c r="R28" s="804"/>
      <c r="S28" s="804"/>
      <c r="T28" s="496"/>
      <c r="U28" s="496"/>
      <c r="V28" s="399"/>
      <c r="W28" s="399"/>
      <c r="X28" s="399"/>
      <c r="Y28" s="399"/>
      <c r="Z28" s="496"/>
      <c r="AC28" s="514" t="s">
        <v>109</v>
      </c>
      <c r="AD28" s="517">
        <f>IF(AC48="","",SUMIFS($D$291:$D$390,$AC$48:$AC$147,"Yes"))</f>
        <v>732400</v>
      </c>
      <c r="AE28" s="517">
        <f>IF(AE48="","",SUMIFS($D$291:$D$390,$AE$48:$AE$147,"Yes"))</f>
        <v>252400</v>
      </c>
      <c r="AF28" s="1457">
        <f>IF(AF48="","",SUMIFS($D$291:$D$390,$AF$48:$AF$147,"Yes"))</f>
        <v>306400</v>
      </c>
      <c r="AH28" s="495"/>
      <c r="AI28" s="1696"/>
      <c r="AJ28" s="1696"/>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19" t="s">
        <v>27</v>
      </c>
      <c r="D29" s="1719"/>
      <c r="E29" s="1661" t="str">
        <f>'1. Project Inputs'!C28</f>
        <v>T&amp;M</v>
      </c>
      <c r="F29" s="1662"/>
      <c r="G29" s="488"/>
      <c r="H29" s="488"/>
      <c r="I29" s="488"/>
      <c r="J29" s="488"/>
      <c r="K29" s="499"/>
      <c r="L29" s="499"/>
      <c r="M29" s="499"/>
      <c r="N29" s="499"/>
      <c r="O29" s="804"/>
      <c r="P29" s="804"/>
      <c r="Q29" s="804"/>
      <c r="R29" s="804"/>
      <c r="S29" s="804"/>
      <c r="T29" s="496"/>
      <c r="U29" s="496"/>
      <c r="V29" s="399"/>
      <c r="W29" s="399"/>
      <c r="X29" s="399"/>
      <c r="Y29" s="399"/>
      <c r="Z29" s="496"/>
      <c r="AC29" s="516" t="s">
        <v>110</v>
      </c>
      <c r="AD29" s="517">
        <f>IF(AC48="","",SUMIFS($F$291:$F$390,$AC$48:$AC$147,"Yes"))</f>
        <v>331440</v>
      </c>
      <c r="AE29" s="517">
        <f>IF(AE48="","",SUMIFS($F$291:$F$390,$AE$48:$AE$147,"Yes"))</f>
        <v>99840</v>
      </c>
      <c r="AF29" s="1457">
        <f>IF(AF48="","",SUMIFS($F$291:$F$390,$AF$48:$AF$147,"Yes"))</f>
        <v>139440</v>
      </c>
      <c r="AH29" s="495"/>
      <c r="AI29" s="1696"/>
      <c r="AJ29" s="1696"/>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22" t="s">
        <v>2286</v>
      </c>
      <c r="D30" s="1722"/>
      <c r="E30" s="1663">
        <f>'1. Project Inputs'!C29</f>
        <v>30</v>
      </c>
      <c r="F30" s="1664"/>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f>IFERROR(AD29/SUMIFS($M$291:$M$390,AC48:AC147,"Yes"),"")</f>
        <v>58.352112676056336</v>
      </c>
      <c r="AE30" s="1459">
        <f>IFERROR(AE29/SUMIFS($M$291:$M$390,AE48:AE147,"Yes"),"")</f>
        <v>48</v>
      </c>
      <c r="AF30" s="1460">
        <f>IFERROR(AF29/SUMIFS($M$291:$M$390,AF48:AF147,"Yes"),"")</f>
        <v>42.512195121951223</v>
      </c>
      <c r="AH30" s="441"/>
      <c r="AI30" s="1696"/>
      <c r="AJ30" s="1696"/>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87" t="s">
        <v>2292</v>
      </c>
      <c r="G32" s="1687"/>
      <c r="H32" s="1687"/>
      <c r="I32" s="1687"/>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2040" t="s">
        <v>3202</v>
      </c>
      <c r="D35" s="2040"/>
      <c r="E35" s="2040"/>
      <c r="F35" s="2040"/>
      <c r="G35" s="2040"/>
      <c r="H35" s="2040"/>
      <c r="I35" s="2040"/>
      <c r="J35" s="2040"/>
      <c r="K35" s="2040"/>
      <c r="L35" s="2040"/>
      <c r="M35" s="2040"/>
      <c r="N35" s="2040"/>
      <c r="O35" s="2040"/>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78" t="s">
        <v>2315</v>
      </c>
      <c r="D36" s="1678"/>
      <c r="E36" s="1678"/>
      <c r="F36" s="1678"/>
      <c r="G36" s="1678"/>
      <c r="H36" s="1678"/>
      <c r="I36" s="1678"/>
      <c r="J36" s="1678"/>
      <c r="K36" s="1678"/>
      <c r="L36" s="1678"/>
      <c r="M36" s="1678"/>
      <c r="N36" s="1678"/>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684" t="s">
        <v>3235</v>
      </c>
      <c r="D37" s="1684"/>
      <c r="E37" s="1684"/>
      <c r="F37" s="1684"/>
      <c r="G37" s="1684"/>
      <c r="H37" s="1684"/>
      <c r="I37" s="1684"/>
      <c r="J37" s="1684"/>
      <c r="K37" s="1684"/>
      <c r="L37" s="1684"/>
      <c r="M37" s="1684"/>
      <c r="N37" s="1684"/>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684" t="s">
        <v>3236</v>
      </c>
      <c r="D38" s="1684"/>
      <c r="E38" s="1684"/>
      <c r="F38" s="1684"/>
      <c r="G38" s="1684"/>
      <c r="H38" s="1684"/>
      <c r="I38" s="1684"/>
      <c r="J38" s="1684"/>
      <c r="K38" s="1684"/>
      <c r="L38" s="1684"/>
      <c r="M38" s="1684"/>
      <c r="N38" s="1684"/>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24" t="s">
        <v>3237</v>
      </c>
      <c r="D39" s="1724"/>
      <c r="E39" s="1724"/>
      <c r="F39" s="1724"/>
      <c r="G39" s="1724"/>
      <c r="H39" s="1724"/>
      <c r="I39" s="1724"/>
      <c r="J39" s="1724"/>
      <c r="K39" s="1724"/>
      <c r="L39" s="1724"/>
      <c r="M39" s="1724"/>
      <c r="N39" s="1724"/>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684" t="s">
        <v>3238</v>
      </c>
      <c r="D40" s="1684"/>
      <c r="E40" s="1684"/>
      <c r="F40" s="1684"/>
      <c r="G40" s="1684"/>
      <c r="H40" s="1684"/>
      <c r="I40" s="1684"/>
      <c r="J40" s="1684"/>
      <c r="K40" s="1684"/>
      <c r="L40" s="1684"/>
      <c r="M40" s="1684"/>
      <c r="N40" s="1684"/>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25" t="s">
        <v>3203</v>
      </c>
      <c r="D41" s="1725"/>
      <c r="E41" s="1725"/>
      <c r="F41" s="1725"/>
      <c r="G41" s="1725"/>
      <c r="H41" s="1725"/>
      <c r="I41" s="1725"/>
      <c r="J41" s="1725"/>
      <c r="K41" s="1725"/>
      <c r="L41" s="1725"/>
      <c r="M41" s="1725"/>
      <c r="N41" s="1725"/>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684" t="s">
        <v>3239</v>
      </c>
      <c r="D42" s="1684"/>
      <c r="E42" s="1684"/>
      <c r="F42" s="1684"/>
      <c r="G42" s="1684"/>
      <c r="H42" s="1684"/>
      <c r="I42" s="1684"/>
      <c r="J42" s="1684"/>
      <c r="K42" s="1684"/>
      <c r="L42" s="1684"/>
      <c r="M42" s="1684"/>
      <c r="N42" s="1684"/>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685" t="s">
        <v>3240</v>
      </c>
      <c r="D43" s="1685"/>
      <c r="E43" s="1685"/>
      <c r="F43" s="1685"/>
      <c r="G43" s="1685"/>
      <c r="H43" s="1685"/>
      <c r="I43" s="1685"/>
      <c r="J43" s="1685"/>
      <c r="K43" s="1685"/>
      <c r="L43" s="1685"/>
      <c r="M43" s="1685"/>
      <c r="N43" s="1685"/>
      <c r="O43" s="842"/>
      <c r="P43" s="842"/>
      <c r="Q43" s="842"/>
      <c r="R43" s="842"/>
      <c r="S43" s="842"/>
      <c r="T43" s="841"/>
      <c r="U43" s="841"/>
      <c r="V43" s="841"/>
      <c r="W43" s="841"/>
      <c r="X43" s="841"/>
      <c r="Y43" s="1768" t="str">
        <f>IF(COUNTIFS(Y48:Y147,"&gt;40")&gt;0,"You have one or more resource staffed over 40 hours a week. If this was intentional, please ignore this message. If this was in error, please check your scheduled weekly hours.","")</f>
        <v/>
      </c>
      <c r="Z43" s="1768"/>
      <c r="AA43" s="1768"/>
      <c r="AB43" s="1768"/>
      <c r="AC43" s="841"/>
      <c r="AD43" s="841"/>
      <c r="AE43" s="841"/>
      <c r="AF43" s="518"/>
      <c r="AG43" s="843"/>
      <c r="AH43" s="844"/>
      <c r="AI43" s="844"/>
      <c r="AJ43" s="843"/>
      <c r="AK43" s="843"/>
      <c r="AL43" s="843"/>
      <c r="AM43" s="843"/>
      <c r="CM43" s="838"/>
    </row>
    <row r="44" spans="1:97" s="624" customFormat="1" ht="14" customHeight="1" x14ac:dyDescent="0.35">
      <c r="B44" s="841"/>
      <c r="C44" s="1686" t="s">
        <v>3241</v>
      </c>
      <c r="D44" s="1686"/>
      <c r="E44" s="1686"/>
      <c r="F44" s="1686"/>
      <c r="G44" s="1686"/>
      <c r="H44" s="1686"/>
      <c r="I44" s="1686"/>
      <c r="J44" s="1686"/>
      <c r="K44" s="1686"/>
      <c r="L44" s="1686"/>
      <c r="M44" s="1686"/>
      <c r="N44" s="1686"/>
      <c r="O44" s="842"/>
      <c r="P44" s="842"/>
      <c r="Q44" s="842"/>
      <c r="R44" s="842"/>
      <c r="S44" s="842"/>
      <c r="T44" s="841"/>
      <c r="U44" s="841"/>
      <c r="V44" s="841"/>
      <c r="W44" s="841"/>
      <c r="X44" s="841"/>
      <c r="Y44" s="1768"/>
      <c r="Z44" s="1768"/>
      <c r="AA44" s="1768"/>
      <c r="AB44" s="1768"/>
      <c r="AC44" s="841"/>
      <c r="AD44" s="841"/>
      <c r="AE44" s="841"/>
      <c r="AF44" s="518"/>
      <c r="AG44" s="843"/>
      <c r="AH44" s="844"/>
      <c r="AI44" s="844"/>
      <c r="AJ44" s="843"/>
      <c r="AK44" s="843"/>
      <c r="AL44" s="843"/>
      <c r="AM44" s="843"/>
      <c r="CM44" s="838"/>
    </row>
    <row r="45" spans="1:97" x14ac:dyDescent="0.3">
      <c r="Y45" s="1768"/>
      <c r="Z45" s="1768"/>
      <c r="AA45" s="1768"/>
      <c r="AB45" s="1768"/>
    </row>
    <row r="46" spans="1:97" s="624" customFormat="1" ht="14" customHeight="1" x14ac:dyDescent="0.35">
      <c r="B46" s="841"/>
      <c r="C46" s="1713"/>
      <c r="D46" s="1713"/>
      <c r="E46" s="1713"/>
      <c r="F46" s="1713"/>
      <c r="G46" s="1713"/>
      <c r="H46" s="1713"/>
      <c r="I46" s="1713"/>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65" t="s">
        <v>237</v>
      </c>
      <c r="L47" s="1665"/>
      <c r="M47" s="1665"/>
      <c r="N47" s="1279" t="s">
        <v>2406</v>
      </c>
      <c r="O47" s="1665" t="s">
        <v>238</v>
      </c>
      <c r="P47" s="1665"/>
      <c r="Q47" s="1665"/>
      <c r="R47" s="1665"/>
      <c r="S47" s="1665"/>
      <c r="T47" s="1692" t="str">
        <f>IF('1. Project Inputs'!C25="Client Custom Rates","Custom Client Rate Card Title","Custom Client Rate Title Do Not Use")</f>
        <v>Custom Client Rate Title Do Not Use</v>
      </c>
      <c r="U47" s="1692"/>
      <c r="V47" s="1281" t="s">
        <v>2369</v>
      </c>
      <c r="W47" s="1281" t="s">
        <v>2314</v>
      </c>
      <c r="X47" s="1594" t="s">
        <v>2096</v>
      </c>
      <c r="Y47" s="1280" t="s">
        <v>2259</v>
      </c>
      <c r="Z47" s="1279" t="s">
        <v>2096</v>
      </c>
      <c r="AA47" s="1279" t="s">
        <v>2258</v>
      </c>
      <c r="AB47" s="1279" t="s">
        <v>64</v>
      </c>
      <c r="AC47" s="1665" t="s">
        <v>104</v>
      </c>
      <c r="AD47" s="1666"/>
      <c r="AE47" s="1282" t="s">
        <v>105</v>
      </c>
      <c r="AF47" s="1279" t="s">
        <v>106</v>
      </c>
      <c r="AH47" s="1711"/>
      <c r="AI47" s="1711"/>
      <c r="AJ47" s="1283"/>
      <c r="AK47" s="1283"/>
      <c r="AL47" s="1283"/>
      <c r="AM47" s="1283"/>
      <c r="CM47" s="1284"/>
    </row>
    <row r="48" spans="1:97" ht="14.5" customHeight="1" x14ac:dyDescent="0.3">
      <c r="C48" s="1182" t="s">
        <v>430</v>
      </c>
      <c r="D48" s="1183" t="s">
        <v>255</v>
      </c>
      <c r="E48" s="1183" t="str">
        <f>IFERROR(_xlfn.XLOOKUP(D48,TADIndia,'Rates &amp; Drop Downs INT'!$CH$6:$CH$747),"")</f>
        <v>Acquia</v>
      </c>
      <c r="F48" s="1183" t="s">
        <v>1218</v>
      </c>
      <c r="G48" s="1187" t="str">
        <f>IFERROR(_xlfn.XLOOKUP(F48,'Rates &amp; Drop Downs INT'!$CI$6:$CI$747,'Rates &amp; Drop Downs INT'!$CJ$6:$CJ$747),"")</f>
        <v>Acquia_CDP</v>
      </c>
      <c r="H48" s="1187" t="str">
        <f>_xlfn.XLOOKUP(F48,'Rates &amp; Drop Downs INT'!$DF$6:$DF$173,'Rates &amp; Drop Downs INT'!$DG$6:$DG$173,"")</f>
        <v>ACQUIACDPSP</v>
      </c>
      <c r="I48" s="1183" t="s">
        <v>1798</v>
      </c>
      <c r="J48" s="1184" t="str">
        <f>C48</f>
        <v>TADNorthAmerica</v>
      </c>
      <c r="K48" s="1674" t="s">
        <v>367</v>
      </c>
      <c r="L48" s="1675"/>
      <c r="M48" s="1676"/>
      <c r="N48" s="1190" cm="1">
        <f t="array" ref="N48">IF($E$20="Credera US",V48,SUMPRODUCT(('Rates &amp; Drop Downs INT'!$CG$6:$CG$747=$D48)*('Rates &amp; Drop Downs INT'!$CI$6:$CI$747=$F48)*('Rates &amp; Drop Downs INT'!$CK$6:$CK$747=$K48)*('Rates &amp; Drop Downs INT'!$CM$6:$CM$747)))</f>
        <v>2</v>
      </c>
      <c r="O48" s="1688"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688"/>
      <c r="Q48" s="1688"/>
      <c r="R48" s="1688"/>
      <c r="S48" s="1688"/>
      <c r="T48" s="1693"/>
      <c r="U48" s="1693"/>
      <c r="V48" s="1221">
        <f>IFERROR(IF(ISBLANK(K48)," ",_xlfn.XLOOKUP(K48,'Rates &amp; Drop Downs INT'!C:C,'Rates &amp; Drop Downs INT'!J:J)),N48)</f>
        <v>2</v>
      </c>
      <c r="W48" s="1202" t="str">
        <f>IF(ISBLANK($K48)," ",IF(OR($C48="Credera US",$C48="TADNorthAmerica"),"Onshore","Offshore"))</f>
        <v>Onshore</v>
      </c>
      <c r="X48" s="1202"/>
      <c r="Y48" s="890">
        <v>40</v>
      </c>
      <c r="Z48" s="1183" t="s">
        <v>295</v>
      </c>
      <c r="AA48" s="1185"/>
      <c r="AB48" s="1273"/>
      <c r="AC48" s="1667" t="s">
        <v>78</v>
      </c>
      <c r="AD48" s="1668"/>
      <c r="AE48" s="1596" t="s">
        <v>275</v>
      </c>
      <c r="AF48" s="891" t="s">
        <v>78</v>
      </c>
      <c r="AH48" s="1709"/>
      <c r="AI48" s="1709"/>
      <c r="CM48" s="425"/>
    </row>
    <row r="49" spans="3:91" ht="16" customHeight="1" x14ac:dyDescent="0.3">
      <c r="C49" s="1186" t="s">
        <v>269</v>
      </c>
      <c r="D49" s="1187" t="s">
        <v>255</v>
      </c>
      <c r="E49" s="1187" t="str">
        <f>IFERROR(_xlfn.XLOOKUP(D49,TADIndia,'Rates &amp; Drop Downs INT'!$CH$6:$CH$747),"")</f>
        <v>Acquia</v>
      </c>
      <c r="F49" s="1187" t="s">
        <v>1218</v>
      </c>
      <c r="G49" s="1187" t="str">
        <f>IFERROR(_xlfn.XLOOKUP(F49,'Rates &amp; Drop Downs INT'!$CI$6:$CI$747,'Rates &amp; Drop Downs INT'!$CJ$6:$CJ$747),"")</f>
        <v>Acquia_CDP</v>
      </c>
      <c r="H49" s="1187" t="str">
        <f>_xlfn.XLOOKUP(F49,'Rates &amp; Drop Downs INT'!$DF$6:$DF$173,'Rates &amp; Drop Downs INT'!$DG$6:$DG$173,"")</f>
        <v>ACQUIACDPSP</v>
      </c>
      <c r="I49" s="1187" t="s">
        <v>1798</v>
      </c>
      <c r="J49" s="1188" t="str">
        <f>C49</f>
        <v>TADIndia</v>
      </c>
      <c r="K49" s="1674" t="s">
        <v>367</v>
      </c>
      <c r="L49" s="1675"/>
      <c r="M49" s="1676"/>
      <c r="N49" s="1190" cm="1">
        <f t="array" ref="N49">IF($E$20="Credera US",V49,SUMPRODUCT(('Rates &amp; Drop Downs INT'!$CG$6:$CG$747=$D49)*('Rates &amp; Drop Downs INT'!$CI$6:$CI$747=$F49)*('Rates &amp; Drop Downs INT'!$CK$6:$CK$747=$K49)*('Rates &amp; Drop Downs INT'!$CM$6:$CM$747)))</f>
        <v>2</v>
      </c>
      <c r="O49" s="1681"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2055"/>
      <c r="Q49" s="2055"/>
      <c r="R49" s="2055"/>
      <c r="S49" s="2056"/>
      <c r="T49" s="1682"/>
      <c r="U49" s="1683"/>
      <c r="V49" s="1222">
        <f>IFERROR(IF(ISBLANK(K49)," ",_xlfn.XLOOKUP(K49,'Rates &amp; Drop Downs INT'!C:C,'Rates &amp; Drop Downs INT'!J:J)),N49)</f>
        <v>2</v>
      </c>
      <c r="W49" s="1203" t="str">
        <f t="shared" ref="W49:W112" si="0">IF(ISBLANK($K49)," ",IF(OR($C49="Credera US",$C49="TADNorthAmerica"),"Onshore","Offshore"))</f>
        <v>Offshore</v>
      </c>
      <c r="X49" s="1203"/>
      <c r="Y49" s="880">
        <v>40</v>
      </c>
      <c r="Z49" s="1187"/>
      <c r="AA49" s="1190"/>
      <c r="AB49" s="1274"/>
      <c r="AC49" s="1653" t="s">
        <v>78</v>
      </c>
      <c r="AD49" s="1654"/>
      <c r="AE49" s="881" t="s">
        <v>78</v>
      </c>
      <c r="AF49" s="892" t="s">
        <v>78</v>
      </c>
      <c r="AH49" s="1709"/>
      <c r="AI49" s="1709"/>
      <c r="CM49" s="425"/>
    </row>
    <row r="50" spans="3:91" ht="16" customHeight="1" x14ac:dyDescent="0.3">
      <c r="C50" s="1186" t="s">
        <v>430</v>
      </c>
      <c r="D50" s="1187" t="s">
        <v>325</v>
      </c>
      <c r="E50" s="1187" t="str">
        <f>IFERROR(_xlfn.XLOOKUP(D50,TADIndia,'Rates &amp; Drop Downs INT'!$CH$6:$CH$747),"")</f>
        <v>Experience_Design</v>
      </c>
      <c r="F50" s="1187" t="s">
        <v>1174</v>
      </c>
      <c r="G50" s="1187" t="str">
        <f>IFERROR(_xlfn.XLOOKUP(F50,'Rates &amp; Drop Downs INT'!$CI$6:$CI$747,'Rates &amp; Drop Downs INT'!$CJ$6:$CJ$747),"")</f>
        <v>Design</v>
      </c>
      <c r="H50" s="1187" t="str">
        <f>_xlfn.XLOOKUP(F50,'Rates &amp; Drop Downs INT'!$DF$6:$DF$173,'Rates &amp; Drop Downs INT'!$DG$6:$DG$173,"")</f>
        <v>DESIGNDESIGNSP</v>
      </c>
      <c r="I50" s="1187"/>
      <c r="J50" s="1188" t="str">
        <f>C50</f>
        <v>TADNorthAmerica</v>
      </c>
      <c r="K50" s="1674" t="s">
        <v>749</v>
      </c>
      <c r="L50" s="1675"/>
      <c r="M50" s="1676"/>
      <c r="N50" s="1190" cm="1">
        <f t="array" ref="N50">IF($E$20="Credera US",V50,SUMPRODUCT(('Rates &amp; Drop Downs INT'!$CG$6:$CG$747=$D50)*('Rates &amp; Drop Downs INT'!$CI$6:$CI$747=$F50)*('Rates &amp; Drop Downs INT'!$CK$6:$CK$747=$K50)*('Rates &amp; Drop Downs INT'!$CM$6:$CM$747)))</f>
        <v>2</v>
      </c>
      <c r="O50" s="1681"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2055"/>
      <c r="Q50" s="2055"/>
      <c r="R50" s="2055"/>
      <c r="S50" s="2056"/>
      <c r="T50" s="1682"/>
      <c r="U50" s="1683"/>
      <c r="V50" s="1222">
        <f>IFERROR(IF(ISBLANK(K50)," ",_xlfn.XLOOKUP(K50,'Rates &amp; Drop Downs INT'!C:C,'Rates &amp; Drop Downs INT'!J:J)),N50)</f>
        <v>2</v>
      </c>
      <c r="W50" s="1203" t="str">
        <f t="shared" si="0"/>
        <v>Onshore</v>
      </c>
      <c r="X50" s="1203"/>
      <c r="Y50" s="880">
        <v>40</v>
      </c>
      <c r="Z50" s="1187"/>
      <c r="AA50" s="1190"/>
      <c r="AB50" s="1274"/>
      <c r="AC50" s="1653" t="s">
        <v>78</v>
      </c>
      <c r="AD50" s="1654"/>
      <c r="AE50" s="881" t="s">
        <v>78</v>
      </c>
      <c r="AF50" s="892"/>
      <c r="AH50" s="1709"/>
      <c r="AI50" s="1709"/>
      <c r="CM50" s="425"/>
    </row>
    <row r="51" spans="3:91" ht="16" customHeight="1" x14ac:dyDescent="0.3">
      <c r="C51" s="1186" t="s">
        <v>269</v>
      </c>
      <c r="D51" s="1187" t="s">
        <v>325</v>
      </c>
      <c r="E51" s="1187" t="str">
        <f>IFERROR(_xlfn.XLOOKUP(D51,TADIndia,'Rates &amp; Drop Downs INT'!$CH$6:$CH$747),"")</f>
        <v>Experience_Design</v>
      </c>
      <c r="F51" s="1187" t="s">
        <v>1174</v>
      </c>
      <c r="G51" s="1187" t="str">
        <f>IFERROR(_xlfn.XLOOKUP(F51,'Rates &amp; Drop Downs INT'!$CI$6:$CI$747,'Rates &amp; Drop Downs INT'!$CJ$6:$CJ$747),"")</f>
        <v>Design</v>
      </c>
      <c r="H51" s="1187" t="str">
        <f>_xlfn.XLOOKUP(F51,'Rates &amp; Drop Downs INT'!$DF$6:$DF$173,'Rates &amp; Drop Downs INT'!$DG$6:$DG$173,"")</f>
        <v>DESIGNDESIGNSP</v>
      </c>
      <c r="I51" s="1187"/>
      <c r="J51" s="1188" t="str">
        <f t="shared" ref="J51:J112" si="1">C51</f>
        <v>TADIndia</v>
      </c>
      <c r="K51" s="1674" t="s">
        <v>749</v>
      </c>
      <c r="L51" s="1675"/>
      <c r="M51" s="1676"/>
      <c r="N51" s="1190" cm="1">
        <f t="array" ref="N51">IF($E$20="Credera US",V51,SUMPRODUCT(('Rates &amp; Drop Downs INT'!$CG$6:$CG$747=$D51)*('Rates &amp; Drop Downs INT'!$CI$6:$CI$747=$F51)*('Rates &amp; Drop Downs INT'!$CK$6:$CK$747=$K51)*('Rates &amp; Drop Downs INT'!$CM$6:$CM$747)))</f>
        <v>2</v>
      </c>
      <c r="O51" s="1681"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2055"/>
      <c r="Q51" s="2055"/>
      <c r="R51" s="2055"/>
      <c r="S51" s="2056"/>
      <c r="T51" s="1682"/>
      <c r="U51" s="1683"/>
      <c r="V51" s="1222">
        <f>IFERROR(IF(ISBLANK(K51)," ",_xlfn.XLOOKUP(K51,'Rates &amp; Drop Downs INT'!C:C,'Rates &amp; Drop Downs INT'!J:J)),N51)</f>
        <v>2</v>
      </c>
      <c r="W51" s="1203" t="str">
        <f t="shared" si="0"/>
        <v>Offshore</v>
      </c>
      <c r="X51" s="1203"/>
      <c r="Y51" s="880">
        <v>40</v>
      </c>
      <c r="Z51" s="1187"/>
      <c r="AA51" s="1190"/>
      <c r="AB51" s="1274"/>
      <c r="AC51" s="1653" t="s">
        <v>78</v>
      </c>
      <c r="AD51" s="1654"/>
      <c r="AE51" s="881"/>
      <c r="AF51" s="892" t="s">
        <v>78</v>
      </c>
      <c r="AH51" s="1709"/>
      <c r="AI51" s="1709"/>
      <c r="CM51" s="425"/>
    </row>
    <row r="52" spans="3:91" ht="16" customHeight="1" x14ac:dyDescent="0.3">
      <c r="C52" s="1186" t="s">
        <v>430</v>
      </c>
      <c r="D52" s="1187" t="s">
        <v>262</v>
      </c>
      <c r="E52" s="1187" t="str">
        <f>IFERROR(_xlfn.XLOOKUP(D52,TADIndia,'Rates &amp; Drop Downs INT'!$CH$6:$CH$747),"")</f>
        <v>Adobe</v>
      </c>
      <c r="F52" s="1187" t="s">
        <v>1209</v>
      </c>
      <c r="G52" s="1187" t="str">
        <f>IFERROR(_xlfn.XLOOKUP(F52,'Rates &amp; Drop Downs INT'!$CI$6:$CI$747,'Rates &amp; Drop Downs INT'!$CJ$6:$CJ$747),"")</f>
        <v>Adobe_UI</v>
      </c>
      <c r="H52" s="1187" t="str">
        <f>_xlfn.XLOOKUP(F52,'Rates &amp; Drop Downs INT'!$DF$6:$DF$173,'Rates &amp; Drop Downs INT'!$DG$6:$DG$173,"")</f>
        <v>ADOBEUISP</v>
      </c>
      <c r="I52" s="1187"/>
      <c r="J52" s="1188" t="str">
        <f t="shared" si="1"/>
        <v>TADNorthAmerica</v>
      </c>
      <c r="K52" s="1674" t="s">
        <v>536</v>
      </c>
      <c r="L52" s="1675"/>
      <c r="M52" s="1676"/>
      <c r="N52" s="1190" cm="1">
        <f t="array" ref="N52">IF($E$20="Credera US",V52,SUMPRODUCT(('Rates &amp; Drop Downs INT'!$CG$6:$CG$747=$D52)*('Rates &amp; Drop Downs INT'!$CI$6:$CI$747=$F52)*('Rates &amp; Drop Downs INT'!$CK$6:$CK$747=$K52)*('Rates &amp; Drop Downs INT'!$CM$6:$CM$747)))</f>
        <v>3</v>
      </c>
      <c r="O52" s="1681"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2055"/>
      <c r="Q52" s="2055"/>
      <c r="R52" s="2055"/>
      <c r="S52" s="2056"/>
      <c r="T52" s="1682"/>
      <c r="U52" s="1683"/>
      <c r="V52" s="1222">
        <f>IFERROR(IF(ISBLANK(K52)," ",_xlfn.XLOOKUP(K52,'Rates &amp; Drop Downs INT'!C:C,'Rates &amp; Drop Downs INT'!J:J)),N52)</f>
        <v>0</v>
      </c>
      <c r="W52" s="1203" t="str">
        <f t="shared" si="0"/>
        <v>Onshore</v>
      </c>
      <c r="X52" s="1203"/>
      <c r="Y52" s="880">
        <v>40</v>
      </c>
      <c r="Z52" s="1187"/>
      <c r="AA52" s="1190"/>
      <c r="AB52" s="1274"/>
      <c r="AC52" s="1653" t="s">
        <v>78</v>
      </c>
      <c r="AD52" s="1654"/>
      <c r="AE52" s="881"/>
      <c r="AF52" s="892"/>
      <c r="AH52" s="1709"/>
      <c r="AI52" s="1709"/>
      <c r="CM52" s="425"/>
    </row>
    <row r="53" spans="3:91" ht="16" customHeight="1" x14ac:dyDescent="0.3">
      <c r="C53" s="1186" t="s">
        <v>269</v>
      </c>
      <c r="D53" s="1187" t="s">
        <v>288</v>
      </c>
      <c r="E53" s="1187" t="str">
        <f>IFERROR(_xlfn.XLOOKUP(D53,TADIndia,'Rates &amp; Drop Downs INT'!$CH$6:$CH$747),"")</f>
        <v>MACH</v>
      </c>
      <c r="F53" s="1187" t="s">
        <v>1225</v>
      </c>
      <c r="G53" s="1187" t="str">
        <f>IFERROR(_xlfn.XLOOKUP(F53,'Rates &amp; Drop Downs INT'!$CI$6:$CI$747,'Rates &amp; Drop Downs INT'!$CJ$6:$CJ$747),"")</f>
        <v>MACH_DevOps</v>
      </c>
      <c r="H53" s="1187" t="str">
        <f>_xlfn.XLOOKUP(F53,'Rates &amp; Drop Downs INT'!$DF$6:$DF$173,'Rates &amp; Drop Downs INT'!$DG$6:$DG$173,"")</f>
        <v>MACHDEVOPSSP</v>
      </c>
      <c r="I53" s="1187"/>
      <c r="J53" s="1188" t="str">
        <f t="shared" si="1"/>
        <v>TADIndia</v>
      </c>
      <c r="K53" s="1674" t="s">
        <v>3363</v>
      </c>
      <c r="L53" s="1675"/>
      <c r="M53" s="1676"/>
      <c r="N53" s="1190" cm="1">
        <f t="array" ref="N53">IF($E$20="Credera US",V53,SUMPRODUCT(('Rates &amp; Drop Downs INT'!$CG$6:$CG$747=$D53)*('Rates &amp; Drop Downs INT'!$CI$6:$CI$747=$F53)*('Rates &amp; Drop Downs INT'!$CK$6:$CK$747=$K53)*('Rates &amp; Drop Downs INT'!$CM$6:$CM$747)))</f>
        <v>2</v>
      </c>
      <c r="O53" s="1681"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2055"/>
      <c r="Q53" s="2055"/>
      <c r="R53" s="2055"/>
      <c r="S53" s="2056"/>
      <c r="T53" s="1682"/>
      <c r="U53" s="1683"/>
      <c r="V53" s="1222">
        <f>IFERROR(IF(ISBLANK(K53)," ",_xlfn.XLOOKUP(K53,'Rates &amp; Drop Downs INT'!C:C,'Rates &amp; Drop Downs INT'!J:J)),N53)</f>
        <v>2</v>
      </c>
      <c r="W53" s="1203" t="str">
        <f t="shared" si="0"/>
        <v>Offshore</v>
      </c>
      <c r="X53" s="1203"/>
      <c r="Y53" s="880">
        <v>32</v>
      </c>
      <c r="Z53" s="1187"/>
      <c r="AA53" s="1190"/>
      <c r="AB53" s="1274"/>
      <c r="AC53" s="1653"/>
      <c r="AD53" s="1654"/>
      <c r="AE53" s="881"/>
      <c r="AF53" s="892"/>
      <c r="AH53" s="1709"/>
      <c r="AI53" s="1709"/>
      <c r="CM53" s="425"/>
    </row>
    <row r="54" spans="3:91" ht="16" customHeight="1" x14ac:dyDescent="0.3">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c r="K54" s="1674"/>
      <c r="L54" s="1675"/>
      <c r="M54" s="1676"/>
      <c r="N54" s="1190" cm="1">
        <f t="array" ref="N54">IF($E$20="Credera US",V54,SUMPRODUCT(('Rates &amp; Drop Downs INT'!$CG$6:$CG$747=$D54)*('Rates &amp; Drop Downs INT'!$CI$6:$CI$747=$F54)*('Rates &amp; Drop Downs INT'!$CK$6:$CK$747=$K54)*('Rates &amp; Drop Downs INT'!$CM$6:$CM$747)))</f>
        <v>0</v>
      </c>
      <c r="O54" s="1681"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2055"/>
      <c r="Q54" s="2055"/>
      <c r="R54" s="2055"/>
      <c r="S54" s="2056"/>
      <c r="T54" s="1682"/>
      <c r="U54" s="1683"/>
      <c r="V54" s="1222" t="str">
        <f>IFERROR(IF(ISBLANK(K54)," ",_xlfn.XLOOKUP(K54,'Rates &amp; Drop Downs INT'!C:C,'Rates &amp; Drop Downs INT'!J:J)),N54)</f>
        <v xml:space="preserve"> </v>
      </c>
      <c r="W54" s="1203" t="str">
        <f t="shared" si="0"/>
        <v xml:space="preserve"> </v>
      </c>
      <c r="X54" s="1203"/>
      <c r="Y54" s="880">
        <v>10</v>
      </c>
      <c r="Z54" s="1187"/>
      <c r="AA54" s="1190"/>
      <c r="AB54" s="1274"/>
      <c r="AC54" s="1653"/>
      <c r="AD54" s="1654"/>
      <c r="AE54" s="881"/>
      <c r="AF54" s="892"/>
      <c r="AH54" s="1709"/>
      <c r="AI54" s="1709"/>
      <c r="CM54" s="425"/>
    </row>
    <row r="55" spans="3:91" ht="16"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1"/>
        <v>0</v>
      </c>
      <c r="K55" s="1674"/>
      <c r="L55" s="1675"/>
      <c r="M55" s="1676"/>
      <c r="N55" s="1190" cm="1">
        <f t="array" ref="N55">IF($E$20="Credera US",V55,SUMPRODUCT(('Rates &amp; Drop Downs INT'!$CG$6:$CG$747=$D55)*('Rates &amp; Drop Downs INT'!$CI$6:$CI$747=$F55)*('Rates &amp; Drop Downs INT'!$CK$6:$CK$747=$K55)*('Rates &amp; Drop Downs INT'!$CM$6:$CM$747)))</f>
        <v>0</v>
      </c>
      <c r="O55" s="1681"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2055"/>
      <c r="Q55" s="2055"/>
      <c r="R55" s="2055"/>
      <c r="S55" s="2056"/>
      <c r="T55" s="1682"/>
      <c r="U55" s="1683"/>
      <c r="V55" s="1222" t="str">
        <f>IFERROR(IF(ISBLANK(K55)," ",_xlfn.XLOOKUP(K55,'Rates &amp; Drop Downs INT'!C:C,'Rates &amp; Drop Downs INT'!J:J)),N55)</f>
        <v xml:space="preserve"> </v>
      </c>
      <c r="W55" s="1203" t="str">
        <f t="shared" si="0"/>
        <v xml:space="preserve"> </v>
      </c>
      <c r="X55" s="1203"/>
      <c r="Y55" s="880" t="s">
        <v>2271</v>
      </c>
      <c r="Z55" s="1187"/>
      <c r="AA55" s="1190"/>
      <c r="AB55" s="1274"/>
      <c r="AC55" s="1653"/>
      <c r="AD55" s="1654"/>
      <c r="AE55" s="881"/>
      <c r="AF55" s="892"/>
      <c r="AH55" s="1709"/>
      <c r="AI55" s="1709"/>
      <c r="CM55" s="425"/>
    </row>
    <row r="56" spans="3:91" ht="16"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1"/>
        <v>0</v>
      </c>
      <c r="K56" s="1674"/>
      <c r="L56" s="1675"/>
      <c r="M56" s="1676"/>
      <c r="N56" s="1190" cm="1">
        <f t="array" ref="N56">IF($E$20="Credera US",V56,SUMPRODUCT(('Rates &amp; Drop Downs INT'!$CG$6:$CG$747=$D56)*('Rates &amp; Drop Downs INT'!$CI$6:$CI$747=$F56)*('Rates &amp; Drop Downs INT'!$CK$6:$CK$747=$K56)*('Rates &amp; Drop Downs INT'!$CM$6:$CM$747)))</f>
        <v>0</v>
      </c>
      <c r="O56" s="1681"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2055"/>
      <c r="Q56" s="2055"/>
      <c r="R56" s="2055"/>
      <c r="S56" s="2056"/>
      <c r="T56" s="1682"/>
      <c r="U56" s="1683"/>
      <c r="V56" s="1222" t="str">
        <f>IFERROR(IF(ISBLANK(K56)," ",_xlfn.XLOOKUP(K56,'Rates &amp; Drop Downs INT'!C:C,'Rates &amp; Drop Downs INT'!J:J)),N56)</f>
        <v xml:space="preserve"> </v>
      </c>
      <c r="W56" s="1203" t="str">
        <f t="shared" si="0"/>
        <v xml:space="preserve"> </v>
      </c>
      <c r="X56" s="1203"/>
      <c r="Y56" s="880" t="s">
        <v>2271</v>
      </c>
      <c r="Z56" s="1187"/>
      <c r="AA56" s="1190"/>
      <c r="AB56" s="1274"/>
      <c r="AC56" s="1653"/>
      <c r="AD56" s="1654"/>
      <c r="AE56" s="881"/>
      <c r="AF56" s="892"/>
      <c r="AH56" s="1709"/>
      <c r="AI56" s="1709"/>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1"/>
        <v>0</v>
      </c>
      <c r="K57" s="1674"/>
      <c r="L57" s="1675"/>
      <c r="M57" s="1676"/>
      <c r="N57" s="1190" cm="1">
        <f t="array" ref="N57">IF($E$20="Credera US",V57,SUMPRODUCT(('Rates &amp; Drop Downs INT'!$CG$6:$CG$747=$D57)*('Rates &amp; Drop Downs INT'!$CI$6:$CI$747=$F57)*('Rates &amp; Drop Downs INT'!$CK$6:$CK$747=$K57)*('Rates &amp; Drop Downs INT'!$CM$6:$CM$747)))</f>
        <v>0</v>
      </c>
      <c r="O57" s="1681"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2055"/>
      <c r="Q57" s="2055"/>
      <c r="R57" s="2055"/>
      <c r="S57" s="2056"/>
      <c r="T57" s="1682"/>
      <c r="U57" s="1683"/>
      <c r="V57" s="1222" t="str">
        <f>IFERROR(IF(ISBLANK(K57)," ",_xlfn.XLOOKUP(K57,'Rates &amp; Drop Downs INT'!C:C,'Rates &amp; Drop Downs INT'!J:J)),N57)</f>
        <v xml:space="preserve"> </v>
      </c>
      <c r="W57" s="1203" t="str">
        <f t="shared" si="0"/>
        <v xml:space="preserve"> </v>
      </c>
      <c r="X57" s="1203"/>
      <c r="Y57" s="880" t="s">
        <v>2271</v>
      </c>
      <c r="Z57" s="1187"/>
      <c r="AA57" s="1190"/>
      <c r="AB57" s="1274"/>
      <c r="AC57" s="1653"/>
      <c r="AD57" s="1654"/>
      <c r="AE57" s="881"/>
      <c r="AF57" s="892"/>
      <c r="AH57" s="1709"/>
      <c r="AI57" s="1709"/>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1"/>
        <v>0</v>
      </c>
      <c r="K58" s="1674"/>
      <c r="L58" s="1675"/>
      <c r="M58" s="1676"/>
      <c r="N58" s="1190" cm="1">
        <f t="array" ref="N58">IF($E$20="Credera US",V58,SUMPRODUCT(('Rates &amp; Drop Downs INT'!$CG$6:$CG$747=$D58)*('Rates &amp; Drop Downs INT'!$CI$6:$CI$747=$F58)*('Rates &amp; Drop Downs INT'!$CK$6:$CK$747=$K58)*('Rates &amp; Drop Downs INT'!$CM$6:$CM$747)))</f>
        <v>0</v>
      </c>
      <c r="O58" s="1681"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2055"/>
      <c r="Q58" s="2055"/>
      <c r="R58" s="2055"/>
      <c r="S58" s="2056"/>
      <c r="T58" s="1682"/>
      <c r="U58" s="1683"/>
      <c r="V58" s="1222" t="str">
        <f>IFERROR(IF(ISBLANK(K58)," ",_xlfn.XLOOKUP(K58,'Rates &amp; Drop Downs INT'!C:C,'Rates &amp; Drop Downs INT'!J:J)),N58)</f>
        <v xml:space="preserve"> </v>
      </c>
      <c r="W58" s="1203" t="str">
        <f t="shared" si="0"/>
        <v xml:space="preserve"> </v>
      </c>
      <c r="X58" s="1203"/>
      <c r="Y58" s="880" t="s">
        <v>2271</v>
      </c>
      <c r="Z58" s="1187"/>
      <c r="AA58" s="1190"/>
      <c r="AB58" s="1274"/>
      <c r="AC58" s="1653"/>
      <c r="AD58" s="1654"/>
      <c r="AE58" s="881"/>
      <c r="AF58" s="892"/>
      <c r="AH58" s="1709"/>
      <c r="AI58" s="1709"/>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1"/>
        <v>0</v>
      </c>
      <c r="K59" s="1674"/>
      <c r="L59" s="1675"/>
      <c r="M59" s="1676"/>
      <c r="N59" s="1190" cm="1">
        <f t="array" ref="N59">IF($E$20="Credera US",V59,SUMPRODUCT(('Rates &amp; Drop Downs INT'!$CG$6:$CG$747=$D59)*('Rates &amp; Drop Downs INT'!$CI$6:$CI$747=$F59)*('Rates &amp; Drop Downs INT'!$CK$6:$CK$747=$K59)*('Rates &amp; Drop Downs INT'!$CM$6:$CM$747)))</f>
        <v>0</v>
      </c>
      <c r="O59" s="1681"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2055"/>
      <c r="Q59" s="2055"/>
      <c r="R59" s="2055"/>
      <c r="S59" s="2056"/>
      <c r="T59" s="1682"/>
      <c r="U59" s="1683"/>
      <c r="V59" s="1222" t="str">
        <f>IFERROR(IF(ISBLANK(K59)," ",_xlfn.XLOOKUP(K59,'Rates &amp; Drop Downs INT'!C:C,'Rates &amp; Drop Downs INT'!J:J)),N59)</f>
        <v xml:space="preserve"> </v>
      </c>
      <c r="W59" s="1203" t="str">
        <f t="shared" si="0"/>
        <v xml:space="preserve"> </v>
      </c>
      <c r="X59" s="1203"/>
      <c r="Y59" s="880" t="s">
        <v>2271</v>
      </c>
      <c r="Z59" s="1187"/>
      <c r="AA59" s="1190"/>
      <c r="AB59" s="1274"/>
      <c r="AC59" s="1653"/>
      <c r="AD59" s="1654"/>
      <c r="AE59" s="881"/>
      <c r="AF59" s="892"/>
      <c r="AH59" s="1709"/>
      <c r="AI59" s="1709"/>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1"/>
        <v>0</v>
      </c>
      <c r="K60" s="1674"/>
      <c r="L60" s="1675"/>
      <c r="M60" s="1676"/>
      <c r="N60" s="1190" cm="1">
        <f t="array" ref="N60">IF($E$20="Credera US",V60,SUMPRODUCT(('Rates &amp; Drop Downs INT'!$CG$6:$CG$747=$D60)*('Rates &amp; Drop Downs INT'!$CI$6:$CI$747=$F60)*('Rates &amp; Drop Downs INT'!$CK$6:$CK$747=$K60)*('Rates &amp; Drop Downs INT'!$CM$6:$CM$747)))</f>
        <v>0</v>
      </c>
      <c r="O60" s="1681"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2055"/>
      <c r="Q60" s="2055"/>
      <c r="R60" s="2055"/>
      <c r="S60" s="2056"/>
      <c r="T60" s="1682"/>
      <c r="U60" s="1683"/>
      <c r="V60" s="1222" t="str">
        <f>IFERROR(IF(ISBLANK(K60)," ",_xlfn.XLOOKUP(K60,'Rates &amp; Drop Downs INT'!C:C,'Rates &amp; Drop Downs INT'!J:J)),N60)</f>
        <v xml:space="preserve"> </v>
      </c>
      <c r="W60" s="1203" t="str">
        <f t="shared" si="0"/>
        <v xml:space="preserve"> </v>
      </c>
      <c r="X60" s="1203"/>
      <c r="Y60" s="880" t="s">
        <v>2271</v>
      </c>
      <c r="Z60" s="1187"/>
      <c r="AA60" s="1190"/>
      <c r="AB60" s="1274"/>
      <c r="AC60" s="1653"/>
      <c r="AD60" s="1654"/>
      <c r="AE60" s="881"/>
      <c r="AF60" s="892"/>
      <c r="AH60" s="1709"/>
      <c r="AI60" s="1709"/>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1"/>
        <v>0</v>
      </c>
      <c r="K61" s="1674"/>
      <c r="L61" s="1675"/>
      <c r="M61" s="1676"/>
      <c r="N61" s="1190" cm="1">
        <f t="array" ref="N61">IF($E$20="Credera US",V61,SUMPRODUCT(('Rates &amp; Drop Downs INT'!$CG$6:$CG$747=$D61)*('Rates &amp; Drop Downs INT'!$CI$6:$CI$747=$F61)*('Rates &amp; Drop Downs INT'!$CK$6:$CK$747=$K61)*('Rates &amp; Drop Downs INT'!$CM$6:$CM$747)))</f>
        <v>0</v>
      </c>
      <c r="O61" s="1681"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2055"/>
      <c r="Q61" s="2055"/>
      <c r="R61" s="2055"/>
      <c r="S61" s="2056"/>
      <c r="T61" s="1682"/>
      <c r="U61" s="1683"/>
      <c r="V61" s="1222" t="str">
        <f>IFERROR(IF(ISBLANK(K61)," ",_xlfn.XLOOKUP(K61,'Rates &amp; Drop Downs INT'!C:C,'Rates &amp; Drop Downs INT'!J:J)),N61)</f>
        <v xml:space="preserve"> </v>
      </c>
      <c r="W61" s="1203" t="str">
        <f t="shared" si="0"/>
        <v xml:space="preserve"> </v>
      </c>
      <c r="X61" s="1203"/>
      <c r="Y61" s="880" t="s">
        <v>2271</v>
      </c>
      <c r="Z61" s="1187"/>
      <c r="AA61" s="1190"/>
      <c r="AB61" s="1274"/>
      <c r="AC61" s="1653"/>
      <c r="AD61" s="1654"/>
      <c r="AE61" s="881"/>
      <c r="AF61" s="892"/>
      <c r="AH61" s="1709"/>
      <c r="AI61" s="1709"/>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1"/>
        <v>0</v>
      </c>
      <c r="K62" s="1674"/>
      <c r="L62" s="1675"/>
      <c r="M62" s="1676"/>
      <c r="N62" s="1190" cm="1">
        <f t="array" ref="N62">IF($E$20="Credera US",V62,SUMPRODUCT(('Rates &amp; Drop Downs INT'!$CG$6:$CG$747=$D62)*('Rates &amp; Drop Downs INT'!$CI$6:$CI$747=$F62)*('Rates &amp; Drop Downs INT'!$CK$6:$CK$747=$K62)*('Rates &amp; Drop Downs INT'!$CM$6:$CM$747)))</f>
        <v>0</v>
      </c>
      <c r="O62" s="1681"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2055"/>
      <c r="Q62" s="2055"/>
      <c r="R62" s="2055"/>
      <c r="S62" s="2056"/>
      <c r="T62" s="1682"/>
      <c r="U62" s="1683"/>
      <c r="V62" s="1222" t="str">
        <f>IFERROR(IF(ISBLANK(K62)," ",_xlfn.XLOOKUP(K62,'Rates &amp; Drop Downs INT'!C:C,'Rates &amp; Drop Downs INT'!J:J)),N62)</f>
        <v xml:space="preserve"> </v>
      </c>
      <c r="W62" s="1203" t="str">
        <f t="shared" si="0"/>
        <v xml:space="preserve"> </v>
      </c>
      <c r="X62" s="1203"/>
      <c r="Y62" s="880" t="s">
        <v>2271</v>
      </c>
      <c r="Z62" s="1187"/>
      <c r="AA62" s="1190"/>
      <c r="AB62" s="1274"/>
      <c r="AC62" s="1653"/>
      <c r="AD62" s="1654"/>
      <c r="AE62" s="881"/>
      <c r="AF62" s="892"/>
      <c r="AH62" s="1709"/>
      <c r="AI62" s="1709"/>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1"/>
        <v>0</v>
      </c>
      <c r="K63" s="1674"/>
      <c r="L63" s="1675"/>
      <c r="M63" s="1676"/>
      <c r="N63" s="1190" cm="1">
        <f t="array" ref="N63">IF($E$20="Credera US",V63,SUMPRODUCT(('Rates &amp; Drop Downs INT'!$CG$6:$CG$747=$D63)*('Rates &amp; Drop Downs INT'!$CI$6:$CI$747=$F63)*('Rates &amp; Drop Downs INT'!$CK$6:$CK$747=$K63)*('Rates &amp; Drop Downs INT'!$CM$6:$CM$747)))</f>
        <v>0</v>
      </c>
      <c r="O63" s="1681"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2055"/>
      <c r="Q63" s="2055"/>
      <c r="R63" s="2055"/>
      <c r="S63" s="2056"/>
      <c r="T63" s="1682"/>
      <c r="U63" s="1683"/>
      <c r="V63" s="1222" t="str">
        <f>IFERROR(IF(ISBLANK(K63)," ",_xlfn.XLOOKUP(K63,'Rates &amp; Drop Downs INT'!C:C,'Rates &amp; Drop Downs INT'!J:J)),N63)</f>
        <v xml:space="preserve"> </v>
      </c>
      <c r="W63" s="1203" t="str">
        <f t="shared" si="0"/>
        <v xml:space="preserve"> </v>
      </c>
      <c r="X63" s="1203"/>
      <c r="Y63" s="880" t="s">
        <v>2271</v>
      </c>
      <c r="Z63" s="1187"/>
      <c r="AA63" s="1190"/>
      <c r="AB63" s="1274"/>
      <c r="AC63" s="1653"/>
      <c r="AD63" s="1654"/>
      <c r="AE63" s="881"/>
      <c r="AF63" s="892"/>
      <c r="AH63" s="1709"/>
      <c r="AI63" s="1709"/>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1"/>
        <v>0</v>
      </c>
      <c r="K64" s="1674"/>
      <c r="L64" s="1675"/>
      <c r="M64" s="1676"/>
      <c r="N64" s="1190" cm="1">
        <f t="array" ref="N64">IF($E$20="Credera US",V64,SUMPRODUCT(('Rates &amp; Drop Downs INT'!$CG$6:$CG$747=$D64)*('Rates &amp; Drop Downs INT'!$CI$6:$CI$747=$F64)*('Rates &amp; Drop Downs INT'!$CK$6:$CK$747=$K64)*('Rates &amp; Drop Downs INT'!$CM$6:$CM$747)))</f>
        <v>0</v>
      </c>
      <c r="O64" s="1681"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2055"/>
      <c r="Q64" s="2055"/>
      <c r="R64" s="2055"/>
      <c r="S64" s="2056"/>
      <c r="T64" s="1682"/>
      <c r="U64" s="1683"/>
      <c r="V64" s="1222" t="str">
        <f>IFERROR(IF(ISBLANK(K64)," ",_xlfn.XLOOKUP(K64,'Rates &amp; Drop Downs INT'!C:C,'Rates &amp; Drop Downs INT'!J:J)),N64)</f>
        <v xml:space="preserve"> </v>
      </c>
      <c r="W64" s="1203" t="str">
        <f t="shared" si="0"/>
        <v xml:space="preserve"> </v>
      </c>
      <c r="X64" s="1203"/>
      <c r="Y64" s="880" t="s">
        <v>2271</v>
      </c>
      <c r="Z64" s="1187"/>
      <c r="AA64" s="1190"/>
      <c r="AB64" s="1274"/>
      <c r="AC64" s="1653"/>
      <c r="AD64" s="1654"/>
      <c r="AE64" s="881"/>
      <c r="AF64" s="892"/>
      <c r="AH64" s="1709"/>
      <c r="AI64" s="1709"/>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1"/>
        <v>0</v>
      </c>
      <c r="K65" s="1674"/>
      <c r="L65" s="1675"/>
      <c r="M65" s="1676"/>
      <c r="N65" s="1190" cm="1">
        <f t="array" ref="N65">IF($E$20="Credera US",V65,SUMPRODUCT(('Rates &amp; Drop Downs INT'!$CG$6:$CG$747=$D65)*('Rates &amp; Drop Downs INT'!$CI$6:$CI$747=$F65)*('Rates &amp; Drop Downs INT'!$CK$6:$CK$747=$K65)*('Rates &amp; Drop Downs INT'!$CM$6:$CM$747)))</f>
        <v>0</v>
      </c>
      <c r="O65" s="1681"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2055"/>
      <c r="Q65" s="2055"/>
      <c r="R65" s="2055"/>
      <c r="S65" s="2056"/>
      <c r="T65" s="1682"/>
      <c r="U65" s="1683"/>
      <c r="V65" s="1222" t="str">
        <f>IFERROR(IF(ISBLANK(K65)," ",_xlfn.XLOOKUP(K65,'Rates &amp; Drop Downs INT'!C:C,'Rates &amp; Drop Downs INT'!J:J)),N65)</f>
        <v xml:space="preserve"> </v>
      </c>
      <c r="W65" s="1203" t="str">
        <f t="shared" si="0"/>
        <v xml:space="preserve"> </v>
      </c>
      <c r="X65" s="1203"/>
      <c r="Y65" s="880" t="s">
        <v>2271</v>
      </c>
      <c r="Z65" s="1187"/>
      <c r="AA65" s="1190"/>
      <c r="AB65" s="1274"/>
      <c r="AC65" s="1653"/>
      <c r="AD65" s="1654"/>
      <c r="AE65" s="881"/>
      <c r="AF65" s="892"/>
      <c r="AH65" s="1709"/>
      <c r="AI65" s="1709"/>
      <c r="CM65" s="425"/>
    </row>
    <row r="66" spans="3:91" ht="16" hidden="1" customHeight="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1"/>
        <v>0</v>
      </c>
      <c r="K66" s="1674"/>
      <c r="L66" s="1675"/>
      <c r="M66" s="1676"/>
      <c r="N66" s="1190" cm="1">
        <f t="array" ref="N66">IF($E$20="Credera US",V66,SUMPRODUCT(('Rates &amp; Drop Downs INT'!$CG$6:$CG$747=$D66)*('Rates &amp; Drop Downs INT'!$CI$6:$CI$747=$F66)*('Rates &amp; Drop Downs INT'!$CK$6:$CK$747=$K66)*('Rates &amp; Drop Downs INT'!$CM$6:$CM$747)))</f>
        <v>0</v>
      </c>
      <c r="O66" s="1681"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2055"/>
      <c r="Q66" s="2055"/>
      <c r="R66" s="2055"/>
      <c r="S66" s="2056"/>
      <c r="T66" s="1682"/>
      <c r="U66" s="1683"/>
      <c r="V66" s="1222" t="str">
        <f>IFERROR(IF(ISBLANK(K66)," ",_xlfn.XLOOKUP(K66,'Rates &amp; Drop Downs INT'!C:C,'Rates &amp; Drop Downs INT'!J:J)),N66)</f>
        <v xml:space="preserve"> </v>
      </c>
      <c r="W66" s="1203" t="str">
        <f t="shared" si="0"/>
        <v xml:space="preserve"> </v>
      </c>
      <c r="X66" s="1203"/>
      <c r="Y66" s="880" t="s">
        <v>2271</v>
      </c>
      <c r="Z66" s="1187"/>
      <c r="AA66" s="1190"/>
      <c r="AB66" s="1274"/>
      <c r="AC66" s="1653"/>
      <c r="AD66" s="1654"/>
      <c r="AE66" s="881"/>
      <c r="AF66" s="892"/>
      <c r="AH66" s="1709"/>
      <c r="AI66" s="1709"/>
      <c r="CM66" s="425"/>
    </row>
    <row r="67" spans="3:91" ht="16" hidden="1" customHeight="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1"/>
        <v>0</v>
      </c>
      <c r="K67" s="1674"/>
      <c r="L67" s="1675"/>
      <c r="M67" s="1676"/>
      <c r="N67" s="1190" cm="1">
        <f t="array" ref="N67">IF($E$20="Credera US",V67,SUMPRODUCT(('Rates &amp; Drop Downs INT'!$CG$6:$CG$747=$D67)*('Rates &amp; Drop Downs INT'!$CI$6:$CI$747=$F67)*('Rates &amp; Drop Downs INT'!$CK$6:$CK$747=$K67)*('Rates &amp; Drop Downs INT'!$CM$6:$CM$747)))</f>
        <v>0</v>
      </c>
      <c r="O67" s="1681"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2055"/>
      <c r="Q67" s="2055"/>
      <c r="R67" s="2055"/>
      <c r="S67" s="2056"/>
      <c r="T67" s="1682"/>
      <c r="U67" s="1683"/>
      <c r="V67" s="1222" t="str">
        <f>IFERROR(IF(ISBLANK(K67)," ",_xlfn.XLOOKUP(K67,'Rates &amp; Drop Downs INT'!C:C,'Rates &amp; Drop Downs INT'!J:J)),N67)</f>
        <v xml:space="preserve"> </v>
      </c>
      <c r="W67" s="1203" t="str">
        <f t="shared" si="0"/>
        <v xml:space="preserve"> </v>
      </c>
      <c r="X67" s="1203"/>
      <c r="Y67" s="880" t="s">
        <v>2271</v>
      </c>
      <c r="Z67" s="1187"/>
      <c r="AA67" s="1190"/>
      <c r="AB67" s="1274"/>
      <c r="AC67" s="1653"/>
      <c r="AD67" s="1654"/>
      <c r="AE67" s="881"/>
      <c r="AF67" s="892"/>
      <c r="AH67" s="1709"/>
      <c r="AI67" s="1709"/>
      <c r="CM67" s="425"/>
    </row>
    <row r="68" spans="3:91" ht="16" hidden="1" customHeight="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1"/>
        <v>0</v>
      </c>
      <c r="K68" s="1674"/>
      <c r="L68" s="1675"/>
      <c r="M68" s="1676"/>
      <c r="N68" s="1190" cm="1">
        <f t="array" ref="N68">IF($E$20="Credera US",V68,SUMPRODUCT(('Rates &amp; Drop Downs INT'!$CG$6:$CG$747=$D68)*('Rates &amp; Drop Downs INT'!$CI$6:$CI$747=$F68)*('Rates &amp; Drop Downs INT'!$CK$6:$CK$747=$K68)*('Rates &amp; Drop Downs INT'!$CM$6:$CM$747)))</f>
        <v>0</v>
      </c>
      <c r="O68" s="1681"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2055"/>
      <c r="Q68" s="2055"/>
      <c r="R68" s="2055"/>
      <c r="S68" s="2056"/>
      <c r="T68" s="1682"/>
      <c r="U68" s="1683"/>
      <c r="V68" s="1222" t="str">
        <f>IFERROR(IF(ISBLANK(K68)," ",_xlfn.XLOOKUP(K68,'Rates &amp; Drop Downs INT'!C:C,'Rates &amp; Drop Downs INT'!J:J)),N68)</f>
        <v xml:space="preserve"> </v>
      </c>
      <c r="W68" s="1203" t="str">
        <f t="shared" si="0"/>
        <v xml:space="preserve"> </v>
      </c>
      <c r="X68" s="1203"/>
      <c r="Y68" s="880" t="s">
        <v>2271</v>
      </c>
      <c r="Z68" s="1187"/>
      <c r="AA68" s="1190"/>
      <c r="AB68" s="1274"/>
      <c r="AC68" s="1653"/>
      <c r="AD68" s="1654"/>
      <c r="AE68" s="881"/>
      <c r="AF68" s="892"/>
      <c r="AH68" s="1709"/>
      <c r="AI68" s="1709"/>
      <c r="CM68" s="425"/>
    </row>
    <row r="69" spans="3:91" ht="16" hidden="1" customHeight="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1"/>
        <v>0</v>
      </c>
      <c r="K69" s="1674"/>
      <c r="L69" s="1675"/>
      <c r="M69" s="1676"/>
      <c r="N69" s="1190" cm="1">
        <f t="array" ref="N69">IF($E$20="Credera US",V69,SUMPRODUCT(('Rates &amp; Drop Downs INT'!$CG$6:$CG$747=$D69)*('Rates &amp; Drop Downs INT'!$CI$6:$CI$747=$F69)*('Rates &amp; Drop Downs INT'!$CK$6:$CK$747=$K69)*('Rates &amp; Drop Downs INT'!$CM$6:$CM$747)))</f>
        <v>0</v>
      </c>
      <c r="O69" s="1681"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2055"/>
      <c r="Q69" s="2055"/>
      <c r="R69" s="2055"/>
      <c r="S69" s="2056"/>
      <c r="T69" s="1682"/>
      <c r="U69" s="1683"/>
      <c r="V69" s="1222" t="str">
        <f>IFERROR(IF(ISBLANK(K69)," ",_xlfn.XLOOKUP(K69,'Rates &amp; Drop Downs INT'!C:C,'Rates &amp; Drop Downs INT'!J:J)),N69)</f>
        <v xml:space="preserve"> </v>
      </c>
      <c r="W69" s="1203" t="str">
        <f t="shared" si="0"/>
        <v xml:space="preserve"> </v>
      </c>
      <c r="X69" s="1203"/>
      <c r="Y69" s="880" t="s">
        <v>2271</v>
      </c>
      <c r="Z69" s="1187"/>
      <c r="AA69" s="1190"/>
      <c r="AB69" s="1274"/>
      <c r="AC69" s="1653"/>
      <c r="AD69" s="1654"/>
      <c r="AE69" s="881"/>
      <c r="AF69" s="892"/>
      <c r="AH69" s="1709"/>
      <c r="AI69" s="1709"/>
      <c r="CM69" s="425"/>
    </row>
    <row r="70" spans="3:91" ht="16" hidden="1" customHeight="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1"/>
        <v>0</v>
      </c>
      <c r="K70" s="1674"/>
      <c r="L70" s="1675"/>
      <c r="M70" s="1676"/>
      <c r="N70" s="1190" cm="1">
        <f t="array" ref="N70">IF($E$20="Credera US",V70,SUMPRODUCT(('Rates &amp; Drop Downs INT'!$CG$6:$CG$747=$D70)*('Rates &amp; Drop Downs INT'!$CI$6:$CI$747=$F70)*('Rates &amp; Drop Downs INT'!$CK$6:$CK$747=$K70)*('Rates &amp; Drop Downs INT'!$CM$6:$CM$747)))</f>
        <v>0</v>
      </c>
      <c r="O70" s="1681"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2055"/>
      <c r="Q70" s="2055"/>
      <c r="R70" s="2055"/>
      <c r="S70" s="2056"/>
      <c r="T70" s="1682"/>
      <c r="U70" s="1683"/>
      <c r="V70" s="1222" t="str">
        <f>IFERROR(IF(ISBLANK(K70)," ",_xlfn.XLOOKUP(K70,'Rates &amp; Drop Downs INT'!C:C,'Rates &amp; Drop Downs INT'!J:J)),N70)</f>
        <v xml:space="preserve"> </v>
      </c>
      <c r="W70" s="1203" t="str">
        <f t="shared" si="0"/>
        <v xml:space="preserve"> </v>
      </c>
      <c r="X70" s="1203"/>
      <c r="Y70" s="880" t="s">
        <v>2271</v>
      </c>
      <c r="Z70" s="1187"/>
      <c r="AA70" s="1190"/>
      <c r="AB70" s="1274"/>
      <c r="AC70" s="1653"/>
      <c r="AD70" s="1654"/>
      <c r="AE70" s="881"/>
      <c r="AF70" s="892"/>
      <c r="AH70" s="1709"/>
      <c r="AI70" s="1709"/>
      <c r="AJ70" s="413"/>
      <c r="AK70" s="413"/>
      <c r="AL70" s="413"/>
      <c r="AM70" s="413"/>
      <c r="CM70" s="425"/>
    </row>
    <row r="71" spans="3:91" ht="16" hidden="1" customHeight="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1"/>
        <v>0</v>
      </c>
      <c r="K71" s="1674"/>
      <c r="L71" s="1675"/>
      <c r="M71" s="1676"/>
      <c r="N71" s="1190" cm="1">
        <f t="array" ref="N71">IF($E$20="Credera US",V71,SUMPRODUCT(('Rates &amp; Drop Downs INT'!$CG$6:$CG$747=$D71)*('Rates &amp; Drop Downs INT'!$CI$6:$CI$747=$F71)*('Rates &amp; Drop Downs INT'!$CK$6:$CK$747=$K71)*('Rates &amp; Drop Downs INT'!$CM$6:$CM$747)))</f>
        <v>0</v>
      </c>
      <c r="O71" s="1681"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2055"/>
      <c r="Q71" s="2055"/>
      <c r="R71" s="2055"/>
      <c r="S71" s="2056"/>
      <c r="T71" s="1682"/>
      <c r="U71" s="1683"/>
      <c r="V71" s="1222" t="str">
        <f>IFERROR(IF(ISBLANK(K71)," ",_xlfn.XLOOKUP(K71,'Rates &amp; Drop Downs INT'!C:C,'Rates &amp; Drop Downs INT'!J:J)),N71)</f>
        <v xml:space="preserve"> </v>
      </c>
      <c r="W71" s="1203" t="str">
        <f t="shared" si="0"/>
        <v xml:space="preserve"> </v>
      </c>
      <c r="X71" s="1203"/>
      <c r="Y71" s="880" t="s">
        <v>2271</v>
      </c>
      <c r="Z71" s="1187"/>
      <c r="AA71" s="1190"/>
      <c r="AB71" s="1274"/>
      <c r="AC71" s="1653"/>
      <c r="AD71" s="1654"/>
      <c r="AE71" s="881"/>
      <c r="AF71" s="892"/>
      <c r="AH71" s="1709"/>
      <c r="AI71" s="1709"/>
      <c r="AJ71" s="413"/>
      <c r="AK71" s="413"/>
      <c r="AL71" s="413"/>
      <c r="AM71" s="413"/>
      <c r="CM71" s="425"/>
    </row>
    <row r="72" spans="3:91" ht="16" hidden="1" customHeight="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1"/>
        <v>0</v>
      </c>
      <c r="K72" s="1674"/>
      <c r="L72" s="1675"/>
      <c r="M72" s="1676"/>
      <c r="N72" s="1190" cm="1">
        <f t="array" ref="N72">IF($E$20="Credera US",V72,SUMPRODUCT(('Rates &amp; Drop Downs INT'!$CG$6:$CG$747=$D72)*('Rates &amp; Drop Downs INT'!$CI$6:$CI$747=$F72)*('Rates &amp; Drop Downs INT'!$CK$6:$CK$747=$K72)*('Rates &amp; Drop Downs INT'!$CM$6:$CM$747)))</f>
        <v>0</v>
      </c>
      <c r="O72" s="1681"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2055"/>
      <c r="Q72" s="2055"/>
      <c r="R72" s="2055"/>
      <c r="S72" s="2056"/>
      <c r="T72" s="1682"/>
      <c r="U72" s="1683"/>
      <c r="V72" s="1222" t="str">
        <f>IFERROR(IF(ISBLANK(K72)," ",_xlfn.XLOOKUP(K72,'Rates &amp; Drop Downs INT'!C:C,'Rates &amp; Drop Downs INT'!J:J)),N72)</f>
        <v xml:space="preserve"> </v>
      </c>
      <c r="W72" s="1203" t="str">
        <f t="shared" si="0"/>
        <v xml:space="preserve"> </v>
      </c>
      <c r="X72" s="1203"/>
      <c r="Y72" s="880" t="s">
        <v>2271</v>
      </c>
      <c r="Z72" s="1187"/>
      <c r="AA72" s="1190"/>
      <c r="AB72" s="1274"/>
      <c r="AC72" s="1653"/>
      <c r="AD72" s="1654"/>
      <c r="AE72" s="881"/>
      <c r="AF72" s="892"/>
      <c r="AH72" s="1709"/>
      <c r="AI72" s="1709"/>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1"/>
        <v>0</v>
      </c>
      <c r="K73" s="1674"/>
      <c r="L73" s="1675"/>
      <c r="M73" s="1676"/>
      <c r="N73" s="1190" cm="1">
        <f t="array" ref="N73">IF($E$20="Credera US",V73,SUMPRODUCT(('Rates &amp; Drop Downs INT'!$CG$6:$CG$747=$D73)*('Rates &amp; Drop Downs INT'!$CI$6:$CI$747=$F73)*('Rates &amp; Drop Downs INT'!$CK$6:$CK$747=$K73)*('Rates &amp; Drop Downs INT'!$CM$6:$CM$747)))</f>
        <v>0</v>
      </c>
      <c r="O73" s="1681"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2055"/>
      <c r="Q73" s="2055"/>
      <c r="R73" s="2055"/>
      <c r="S73" s="2056"/>
      <c r="T73" s="1682"/>
      <c r="U73" s="1683"/>
      <c r="V73" s="1222" t="str">
        <f>IFERROR(IF(ISBLANK(K73)," ",_xlfn.XLOOKUP(K73,'Rates &amp; Drop Downs INT'!C:C,'Rates &amp; Drop Downs INT'!J:J)),N73)</f>
        <v xml:space="preserve"> </v>
      </c>
      <c r="W73" s="1203" t="str">
        <f t="shared" si="0"/>
        <v xml:space="preserve"> </v>
      </c>
      <c r="X73" s="1203"/>
      <c r="Y73" s="880" t="s">
        <v>2271</v>
      </c>
      <c r="Z73" s="1187"/>
      <c r="AA73" s="1190"/>
      <c r="AB73" s="1274"/>
      <c r="AC73" s="1653"/>
      <c r="AD73" s="1654"/>
      <c r="AE73" s="881"/>
      <c r="AF73" s="892"/>
      <c r="AH73" s="1709"/>
      <c r="AI73" s="1709"/>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1"/>
        <v>0</v>
      </c>
      <c r="K74" s="1674"/>
      <c r="L74" s="1675"/>
      <c r="M74" s="1676"/>
      <c r="N74" s="1190" cm="1">
        <f t="array" ref="N74">IF($E$20="Credera US",V74,SUMPRODUCT(('Rates &amp; Drop Downs INT'!$CG$6:$CG$747=$D74)*('Rates &amp; Drop Downs INT'!$CI$6:$CI$747=$F74)*('Rates &amp; Drop Downs INT'!$CK$6:$CK$747=$K74)*('Rates &amp; Drop Downs INT'!$CM$6:$CM$747)))</f>
        <v>0</v>
      </c>
      <c r="O74" s="1681"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2055"/>
      <c r="Q74" s="2055"/>
      <c r="R74" s="2055"/>
      <c r="S74" s="2056"/>
      <c r="T74" s="1682"/>
      <c r="U74" s="1683"/>
      <c r="V74" s="1222" t="str">
        <f>IFERROR(IF(ISBLANK(K74)," ",_xlfn.XLOOKUP(K74,'Rates &amp; Drop Downs INT'!C:C,'Rates &amp; Drop Downs INT'!J:J)),N74)</f>
        <v xml:space="preserve"> </v>
      </c>
      <c r="W74" s="1203" t="str">
        <f t="shared" si="0"/>
        <v xml:space="preserve"> </v>
      </c>
      <c r="X74" s="1203"/>
      <c r="Y74" s="880" t="s">
        <v>2271</v>
      </c>
      <c r="Z74" s="1187"/>
      <c r="AA74" s="1190"/>
      <c r="AB74" s="1274"/>
      <c r="AC74" s="1653"/>
      <c r="AD74" s="1654"/>
      <c r="AE74" s="881"/>
      <c r="AF74" s="892"/>
      <c r="AH74" s="1709"/>
      <c r="AI74" s="1709"/>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1"/>
        <v>0</v>
      </c>
      <c r="K75" s="1674"/>
      <c r="L75" s="1675"/>
      <c r="M75" s="1676"/>
      <c r="N75" s="1190" cm="1">
        <f t="array" ref="N75">IF($E$20="Credera US",V75,SUMPRODUCT(('Rates &amp; Drop Downs INT'!$CG$6:$CG$747=$D75)*('Rates &amp; Drop Downs INT'!$CI$6:$CI$747=$F75)*('Rates &amp; Drop Downs INT'!$CK$6:$CK$747=$K75)*('Rates &amp; Drop Downs INT'!$CM$6:$CM$747)))</f>
        <v>0</v>
      </c>
      <c r="O75" s="1681"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2055"/>
      <c r="Q75" s="2055"/>
      <c r="R75" s="2055"/>
      <c r="S75" s="2056"/>
      <c r="T75" s="1682"/>
      <c r="U75" s="1683"/>
      <c r="V75" s="1222" t="str">
        <f>IFERROR(IF(ISBLANK(K75)," ",_xlfn.XLOOKUP(K75,'Rates &amp; Drop Downs INT'!C:C,'Rates &amp; Drop Downs INT'!J:J)),N75)</f>
        <v xml:space="preserve"> </v>
      </c>
      <c r="W75" s="1203" t="str">
        <f t="shared" si="0"/>
        <v xml:space="preserve"> </v>
      </c>
      <c r="X75" s="1203"/>
      <c r="Y75" s="880" t="s">
        <v>2271</v>
      </c>
      <c r="Z75" s="1187"/>
      <c r="AA75" s="1190"/>
      <c r="AB75" s="1274"/>
      <c r="AC75" s="1653"/>
      <c r="AD75" s="1654"/>
      <c r="AE75" s="881"/>
      <c r="AF75" s="892"/>
      <c r="AH75" s="1709"/>
      <c r="AI75" s="1709"/>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1"/>
        <v>0</v>
      </c>
      <c r="K76" s="1674"/>
      <c r="L76" s="1675"/>
      <c r="M76" s="1676"/>
      <c r="N76" s="1190" cm="1">
        <f t="array" ref="N76">IF($E$20="Credera US",V76,SUMPRODUCT(('Rates &amp; Drop Downs INT'!$CG$6:$CG$747=$D76)*('Rates &amp; Drop Downs INT'!$CI$6:$CI$747=$F76)*('Rates &amp; Drop Downs INT'!$CK$6:$CK$747=$K76)*('Rates &amp; Drop Downs INT'!$CM$6:$CM$747)))</f>
        <v>0</v>
      </c>
      <c r="O76" s="1681"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2055"/>
      <c r="Q76" s="2055"/>
      <c r="R76" s="2055"/>
      <c r="S76" s="2056"/>
      <c r="T76" s="1682"/>
      <c r="U76" s="1683"/>
      <c r="V76" s="1222" t="str">
        <f>IFERROR(IF(ISBLANK(K76)," ",_xlfn.XLOOKUP(K76,'Rates &amp; Drop Downs INT'!C:C,'Rates &amp; Drop Downs INT'!J:J)),N76)</f>
        <v xml:space="preserve"> </v>
      </c>
      <c r="W76" s="1203" t="str">
        <f t="shared" si="0"/>
        <v xml:space="preserve"> </v>
      </c>
      <c r="X76" s="1203"/>
      <c r="Y76" s="880" t="s">
        <v>2271</v>
      </c>
      <c r="Z76" s="1187"/>
      <c r="AA76" s="1190"/>
      <c r="AB76" s="1274"/>
      <c r="AC76" s="1653"/>
      <c r="AD76" s="1654"/>
      <c r="AE76" s="881"/>
      <c r="AF76" s="892"/>
      <c r="AH76" s="1709"/>
      <c r="AI76" s="1709"/>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1"/>
        <v>0</v>
      </c>
      <c r="K77" s="1674"/>
      <c r="L77" s="1675"/>
      <c r="M77" s="1676"/>
      <c r="N77" s="1190" cm="1">
        <f t="array" ref="N77">IF($E$20="Credera US",V77,SUMPRODUCT(('Rates &amp; Drop Downs INT'!$CG$6:$CG$747=$D77)*('Rates &amp; Drop Downs INT'!$CI$6:$CI$747=$F77)*('Rates &amp; Drop Downs INT'!$CK$6:$CK$747=$K77)*('Rates &amp; Drop Downs INT'!$CM$6:$CM$747)))</f>
        <v>0</v>
      </c>
      <c r="O77" s="1681"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2055"/>
      <c r="Q77" s="2055"/>
      <c r="R77" s="2055"/>
      <c r="S77" s="2056"/>
      <c r="T77" s="1682"/>
      <c r="U77" s="1683"/>
      <c r="V77" s="1222" t="str">
        <f>IFERROR(IF(ISBLANK(K77)," ",_xlfn.XLOOKUP(K77,'Rates &amp; Drop Downs INT'!C:C,'Rates &amp; Drop Downs INT'!J:J)),N77)</f>
        <v xml:space="preserve"> </v>
      </c>
      <c r="W77" s="1203" t="str">
        <f t="shared" si="0"/>
        <v xml:space="preserve"> </v>
      </c>
      <c r="X77" s="1203"/>
      <c r="Y77" s="880" t="s">
        <v>2271</v>
      </c>
      <c r="Z77" s="1187"/>
      <c r="AA77" s="1190"/>
      <c r="AB77" s="1274"/>
      <c r="AC77" s="1653"/>
      <c r="AD77" s="1654"/>
      <c r="AE77" s="881"/>
      <c r="AF77" s="892"/>
      <c r="AH77" s="1709"/>
      <c r="AI77" s="1709"/>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1"/>
        <v>0</v>
      </c>
      <c r="K78" s="1674"/>
      <c r="L78" s="1675"/>
      <c r="M78" s="1676"/>
      <c r="N78" s="1190" cm="1">
        <f t="array" ref="N78">IF($E$20="Credera US",V78,SUMPRODUCT(('Rates &amp; Drop Downs INT'!$CG$6:$CG$747=$D78)*('Rates &amp; Drop Downs INT'!$CI$6:$CI$747=$F78)*('Rates &amp; Drop Downs INT'!$CK$6:$CK$747=$K78)*('Rates &amp; Drop Downs INT'!$CM$6:$CM$747)))</f>
        <v>0</v>
      </c>
      <c r="O78" s="1681"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2055"/>
      <c r="Q78" s="2055"/>
      <c r="R78" s="2055"/>
      <c r="S78" s="2056"/>
      <c r="T78" s="1682"/>
      <c r="U78" s="1683"/>
      <c r="V78" s="1222" t="str">
        <f>IFERROR(IF(ISBLANK(K78)," ",_xlfn.XLOOKUP(K78,'Rates &amp; Drop Downs INT'!C:C,'Rates &amp; Drop Downs INT'!J:J)),N78)</f>
        <v xml:space="preserve"> </v>
      </c>
      <c r="W78" s="1203" t="str">
        <f t="shared" si="0"/>
        <v xml:space="preserve"> </v>
      </c>
      <c r="X78" s="1203"/>
      <c r="Y78" s="880" t="s">
        <v>2271</v>
      </c>
      <c r="Z78" s="1187"/>
      <c r="AA78" s="1190"/>
      <c r="AB78" s="1274"/>
      <c r="AC78" s="1653"/>
      <c r="AD78" s="1654"/>
      <c r="AE78" s="881"/>
      <c r="AF78" s="892"/>
      <c r="AH78" s="1709"/>
      <c r="AI78" s="1709"/>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1"/>
        <v>0</v>
      </c>
      <c r="K79" s="1674"/>
      <c r="L79" s="1675"/>
      <c r="M79" s="1676"/>
      <c r="N79" s="1190" cm="1">
        <f t="array" ref="N79">IF($E$20="Credera US",V79,SUMPRODUCT(('Rates &amp; Drop Downs INT'!$CG$6:$CG$747=$D79)*('Rates &amp; Drop Downs INT'!$CI$6:$CI$747=$F79)*('Rates &amp; Drop Downs INT'!$CK$6:$CK$747=$K79)*('Rates &amp; Drop Downs INT'!$CM$6:$CM$747)))</f>
        <v>0</v>
      </c>
      <c r="O79" s="1681"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2055"/>
      <c r="Q79" s="2055"/>
      <c r="R79" s="2055"/>
      <c r="S79" s="2056"/>
      <c r="T79" s="1682"/>
      <c r="U79" s="1683"/>
      <c r="V79" s="1222" t="str">
        <f>IFERROR(IF(ISBLANK(K79)," ",_xlfn.XLOOKUP(K79,'Rates &amp; Drop Downs INT'!C:C,'Rates &amp; Drop Downs INT'!J:J)),N79)</f>
        <v xml:space="preserve"> </v>
      </c>
      <c r="W79" s="1203" t="str">
        <f t="shared" si="0"/>
        <v xml:space="preserve"> </v>
      </c>
      <c r="X79" s="1203"/>
      <c r="Y79" s="880" t="s">
        <v>2271</v>
      </c>
      <c r="Z79" s="1187"/>
      <c r="AA79" s="1190"/>
      <c r="AB79" s="1274"/>
      <c r="AC79" s="1653"/>
      <c r="AD79" s="1654"/>
      <c r="AE79" s="881"/>
      <c r="AF79" s="892"/>
      <c r="AH79" s="1709"/>
      <c r="AI79" s="1709"/>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1"/>
        <v>0</v>
      </c>
      <c r="K80" s="1674"/>
      <c r="L80" s="1675"/>
      <c r="M80" s="1676"/>
      <c r="N80" s="1190" cm="1">
        <f t="array" ref="N80">IF($E$20="Credera US",V80,SUMPRODUCT(('Rates &amp; Drop Downs INT'!$CG$6:$CG$747=$D80)*('Rates &amp; Drop Downs INT'!$CI$6:$CI$747=$F80)*('Rates &amp; Drop Downs INT'!$CK$6:$CK$747=$K80)*('Rates &amp; Drop Downs INT'!$CM$6:$CM$747)))</f>
        <v>0</v>
      </c>
      <c r="O80" s="1681"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2055"/>
      <c r="Q80" s="2055"/>
      <c r="R80" s="2055"/>
      <c r="S80" s="2056"/>
      <c r="T80" s="1682"/>
      <c r="U80" s="1683"/>
      <c r="V80" s="1222" t="str">
        <f>IFERROR(IF(ISBLANK(K80)," ",_xlfn.XLOOKUP(K80,'Rates &amp; Drop Downs INT'!C:C,'Rates &amp; Drop Downs INT'!J:J)),N80)</f>
        <v xml:space="preserve"> </v>
      </c>
      <c r="W80" s="1203" t="str">
        <f t="shared" si="0"/>
        <v xml:space="preserve"> </v>
      </c>
      <c r="X80" s="1203"/>
      <c r="Y80" s="880" t="s">
        <v>2271</v>
      </c>
      <c r="Z80" s="1187"/>
      <c r="AA80" s="1190"/>
      <c r="AB80" s="1274"/>
      <c r="AC80" s="1653"/>
      <c r="AD80" s="1654"/>
      <c r="AE80" s="881"/>
      <c r="AF80" s="892"/>
      <c r="AH80" s="1709"/>
      <c r="AI80" s="1709"/>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1"/>
        <v>0</v>
      </c>
      <c r="K81" s="1674"/>
      <c r="L81" s="1675"/>
      <c r="M81" s="1676"/>
      <c r="N81" s="1190" cm="1">
        <f t="array" ref="N81">IF($E$20="Credera US",V81,SUMPRODUCT(('Rates &amp; Drop Downs INT'!$CG$6:$CG$747=$D81)*('Rates &amp; Drop Downs INT'!$CI$6:$CI$747=$F81)*('Rates &amp; Drop Downs INT'!$CK$6:$CK$747=$K81)*('Rates &amp; Drop Downs INT'!$CM$6:$CM$747)))</f>
        <v>0</v>
      </c>
      <c r="O81" s="1681"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2055"/>
      <c r="Q81" s="2055"/>
      <c r="R81" s="2055"/>
      <c r="S81" s="2056"/>
      <c r="T81" s="1682"/>
      <c r="U81" s="1683"/>
      <c r="V81" s="1222" t="str">
        <f>IFERROR(IF(ISBLANK(K81)," ",_xlfn.XLOOKUP(K81,'Rates &amp; Drop Downs INT'!C:C,'Rates &amp; Drop Downs INT'!J:J)),N81)</f>
        <v xml:space="preserve"> </v>
      </c>
      <c r="W81" s="1203" t="str">
        <f t="shared" si="0"/>
        <v xml:space="preserve"> </v>
      </c>
      <c r="X81" s="1203"/>
      <c r="Y81" s="880" t="s">
        <v>2271</v>
      </c>
      <c r="Z81" s="1187"/>
      <c r="AA81" s="1190"/>
      <c r="AB81" s="1274"/>
      <c r="AC81" s="1653"/>
      <c r="AD81" s="1654"/>
      <c r="AE81" s="881"/>
      <c r="AF81" s="892"/>
      <c r="AH81" s="1709"/>
      <c r="AI81" s="1709"/>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1"/>
        <v>0</v>
      </c>
      <c r="K82" s="1674"/>
      <c r="L82" s="1675"/>
      <c r="M82" s="1676"/>
      <c r="N82" s="1190" cm="1">
        <f t="array" ref="N82">IF($E$20="Credera US",V82,SUMPRODUCT(('Rates &amp; Drop Downs INT'!$CG$6:$CG$747=$D82)*('Rates &amp; Drop Downs INT'!$CI$6:$CI$747=$F82)*('Rates &amp; Drop Downs INT'!$CK$6:$CK$747=$K82)*('Rates &amp; Drop Downs INT'!$CM$6:$CM$747)))</f>
        <v>0</v>
      </c>
      <c r="O82" s="1681"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2055"/>
      <c r="Q82" s="2055"/>
      <c r="R82" s="2055"/>
      <c r="S82" s="2056"/>
      <c r="T82" s="1682"/>
      <c r="U82" s="1683"/>
      <c r="V82" s="1222" t="str">
        <f>IFERROR(IF(ISBLANK(K82)," ",_xlfn.XLOOKUP(K82,'Rates &amp; Drop Downs INT'!C:C,'Rates &amp; Drop Downs INT'!J:J)),N82)</f>
        <v xml:space="preserve"> </v>
      </c>
      <c r="W82" s="1203" t="str">
        <f t="shared" si="0"/>
        <v xml:space="preserve"> </v>
      </c>
      <c r="X82" s="1203"/>
      <c r="Y82" s="880" t="s">
        <v>2271</v>
      </c>
      <c r="Z82" s="1187"/>
      <c r="AA82" s="1190"/>
      <c r="AB82" s="1274"/>
      <c r="AC82" s="1653"/>
      <c r="AD82" s="1654"/>
      <c r="AE82" s="881"/>
      <c r="AF82" s="892"/>
      <c r="AH82" s="1709"/>
      <c r="AI82" s="1709"/>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1"/>
        <v>0</v>
      </c>
      <c r="K83" s="1674"/>
      <c r="L83" s="1675"/>
      <c r="M83" s="1676"/>
      <c r="N83" s="1190" cm="1">
        <f t="array" ref="N83">IF($E$20="Credera US",V83,SUMPRODUCT(('Rates &amp; Drop Downs INT'!$CG$6:$CG$747=$D83)*('Rates &amp; Drop Downs INT'!$CI$6:$CI$747=$F83)*('Rates &amp; Drop Downs INT'!$CK$6:$CK$747=$K83)*('Rates &amp; Drop Downs INT'!$CM$6:$CM$747)))</f>
        <v>0</v>
      </c>
      <c r="O83" s="1681"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2055"/>
      <c r="Q83" s="2055"/>
      <c r="R83" s="2055"/>
      <c r="S83" s="2056"/>
      <c r="T83" s="1682"/>
      <c r="U83" s="1683"/>
      <c r="V83" s="1222" t="str">
        <f>IFERROR(IF(ISBLANK(K83)," ",_xlfn.XLOOKUP(K83,'Rates &amp; Drop Downs INT'!C:C,'Rates &amp; Drop Downs INT'!J:J)),N83)</f>
        <v xml:space="preserve"> </v>
      </c>
      <c r="W83" s="1203" t="str">
        <f t="shared" si="0"/>
        <v xml:space="preserve"> </v>
      </c>
      <c r="X83" s="1203"/>
      <c r="Y83" s="880" t="s">
        <v>2271</v>
      </c>
      <c r="Z83" s="1187"/>
      <c r="AA83" s="1190"/>
      <c r="AB83" s="1274"/>
      <c r="AC83" s="1653"/>
      <c r="AD83" s="1654"/>
      <c r="AE83" s="881"/>
      <c r="AF83" s="892"/>
      <c r="AH83" s="1709"/>
      <c r="AI83" s="1709"/>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1"/>
        <v>0</v>
      </c>
      <c r="K84" s="1674"/>
      <c r="L84" s="1675"/>
      <c r="M84" s="1676"/>
      <c r="N84" s="1190" cm="1">
        <f t="array" ref="N84">IF($E$20="Credera US",V84,SUMPRODUCT(('Rates &amp; Drop Downs INT'!$CG$6:$CG$747=$D84)*('Rates &amp; Drop Downs INT'!$CI$6:$CI$747=$F84)*('Rates &amp; Drop Downs INT'!$CK$6:$CK$747=$K84)*('Rates &amp; Drop Downs INT'!$CM$6:$CM$747)))</f>
        <v>0</v>
      </c>
      <c r="O84" s="1681"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2055"/>
      <c r="Q84" s="2055"/>
      <c r="R84" s="2055"/>
      <c r="S84" s="2056"/>
      <c r="T84" s="1682"/>
      <c r="U84" s="1683"/>
      <c r="V84" s="1222" t="str">
        <f>IFERROR(IF(ISBLANK(K84)," ",_xlfn.XLOOKUP(K84,'Rates &amp; Drop Downs INT'!C:C,'Rates &amp; Drop Downs INT'!J:J)),N84)</f>
        <v xml:space="preserve"> </v>
      </c>
      <c r="W84" s="1203" t="str">
        <f t="shared" si="0"/>
        <v xml:space="preserve"> </v>
      </c>
      <c r="X84" s="1203"/>
      <c r="Y84" s="880" t="s">
        <v>2271</v>
      </c>
      <c r="Z84" s="1187"/>
      <c r="AA84" s="1190"/>
      <c r="AB84" s="1274"/>
      <c r="AC84" s="1653"/>
      <c r="AD84" s="1654"/>
      <c r="AE84" s="881"/>
      <c r="AF84" s="892"/>
      <c r="AH84" s="1709"/>
      <c r="AI84" s="1709"/>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1"/>
        <v>0</v>
      </c>
      <c r="K85" s="1674"/>
      <c r="L85" s="1675"/>
      <c r="M85" s="1676"/>
      <c r="N85" s="1190" cm="1">
        <f t="array" ref="N85">IF($E$20="Credera US",V85,SUMPRODUCT(('Rates &amp; Drop Downs INT'!$CG$6:$CG$747=$D85)*('Rates &amp; Drop Downs INT'!$CI$6:$CI$747=$F85)*('Rates &amp; Drop Downs INT'!$CK$6:$CK$747=$K85)*('Rates &amp; Drop Downs INT'!$CM$6:$CM$747)))</f>
        <v>0</v>
      </c>
      <c r="O85" s="1681"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2055"/>
      <c r="Q85" s="2055"/>
      <c r="R85" s="2055"/>
      <c r="S85" s="2056"/>
      <c r="T85" s="1682"/>
      <c r="U85" s="1683"/>
      <c r="V85" s="1222" t="str">
        <f>IFERROR(IF(ISBLANK(K85)," ",_xlfn.XLOOKUP(K85,'Rates &amp; Drop Downs INT'!C:C,'Rates &amp; Drop Downs INT'!J:J)),N85)</f>
        <v xml:space="preserve"> </v>
      </c>
      <c r="W85" s="1203" t="str">
        <f t="shared" si="0"/>
        <v xml:space="preserve"> </v>
      </c>
      <c r="X85" s="1203"/>
      <c r="Y85" s="880" t="s">
        <v>2271</v>
      </c>
      <c r="Z85" s="1187"/>
      <c r="AA85" s="1190"/>
      <c r="AB85" s="1274"/>
      <c r="AC85" s="1653"/>
      <c r="AD85" s="1654"/>
      <c r="AE85" s="881"/>
      <c r="AF85" s="892"/>
      <c r="AH85" s="1709"/>
      <c r="AI85" s="1709"/>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1"/>
        <v>0</v>
      </c>
      <c r="K86" s="1674"/>
      <c r="L86" s="1675"/>
      <c r="M86" s="1676"/>
      <c r="N86" s="1190" cm="1">
        <f t="array" ref="N86">IF($E$20="Credera US",V86,SUMPRODUCT(('Rates &amp; Drop Downs INT'!$CG$6:$CG$747=$D86)*('Rates &amp; Drop Downs INT'!$CI$6:$CI$747=$F86)*('Rates &amp; Drop Downs INT'!$CK$6:$CK$747=$K86)*('Rates &amp; Drop Downs INT'!$CM$6:$CM$747)))</f>
        <v>0</v>
      </c>
      <c r="O86" s="1681"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2055"/>
      <c r="Q86" s="2055"/>
      <c r="R86" s="2055"/>
      <c r="S86" s="2056"/>
      <c r="T86" s="1682"/>
      <c r="U86" s="1683"/>
      <c r="V86" s="1222" t="str">
        <f>IFERROR(IF(ISBLANK(K86)," ",_xlfn.XLOOKUP(K86,'Rates &amp; Drop Downs INT'!C:C,'Rates &amp; Drop Downs INT'!J:J)),N86)</f>
        <v xml:space="preserve"> </v>
      </c>
      <c r="W86" s="1203" t="str">
        <f t="shared" si="0"/>
        <v xml:space="preserve"> </v>
      </c>
      <c r="X86" s="1203"/>
      <c r="Y86" s="880" t="s">
        <v>2271</v>
      </c>
      <c r="Z86" s="1187"/>
      <c r="AA86" s="1190"/>
      <c r="AB86" s="1274"/>
      <c r="AC86" s="1653"/>
      <c r="AD86" s="1654"/>
      <c r="AE86" s="881"/>
      <c r="AF86" s="892"/>
      <c r="AH86" s="1709"/>
      <c r="AI86" s="1709"/>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1"/>
        <v>0</v>
      </c>
      <c r="K87" s="1674"/>
      <c r="L87" s="1675"/>
      <c r="M87" s="1676"/>
      <c r="N87" s="1190" cm="1">
        <f t="array" ref="N87">IF($E$20="Credera US",V87,SUMPRODUCT(('Rates &amp; Drop Downs INT'!$CG$6:$CG$747=$D87)*('Rates &amp; Drop Downs INT'!$CI$6:$CI$747=$F87)*('Rates &amp; Drop Downs INT'!$CK$6:$CK$747=$K87)*('Rates &amp; Drop Downs INT'!$CM$6:$CM$747)))</f>
        <v>0</v>
      </c>
      <c r="O87" s="1681"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2055"/>
      <c r="Q87" s="2055"/>
      <c r="R87" s="2055"/>
      <c r="S87" s="2056"/>
      <c r="T87" s="1682"/>
      <c r="U87" s="1683"/>
      <c r="V87" s="1222" t="str">
        <f>IFERROR(IF(ISBLANK(K87)," ",_xlfn.XLOOKUP(K87,'Rates &amp; Drop Downs INT'!C:C,'Rates &amp; Drop Downs INT'!J:J)),N87)</f>
        <v xml:space="preserve"> </v>
      </c>
      <c r="W87" s="1203" t="str">
        <f t="shared" si="0"/>
        <v xml:space="preserve"> </v>
      </c>
      <c r="X87" s="1203"/>
      <c r="Y87" s="880" t="s">
        <v>2271</v>
      </c>
      <c r="Z87" s="1187"/>
      <c r="AA87" s="1190"/>
      <c r="AB87" s="1274"/>
      <c r="AC87" s="1653"/>
      <c r="AD87" s="1654"/>
      <c r="AE87" s="881"/>
      <c r="AF87" s="892"/>
      <c r="AH87" s="1709"/>
      <c r="AI87" s="1709"/>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1"/>
        <v>0</v>
      </c>
      <c r="K88" s="1674"/>
      <c r="L88" s="1675"/>
      <c r="M88" s="1676"/>
      <c r="N88" s="1190" cm="1">
        <f t="array" ref="N88">IF($E$20="Credera US",V88,SUMPRODUCT(('Rates &amp; Drop Downs INT'!$CG$6:$CG$747=$D88)*('Rates &amp; Drop Downs INT'!$CI$6:$CI$747=$F88)*('Rates &amp; Drop Downs INT'!$CK$6:$CK$747=$K88)*('Rates &amp; Drop Downs INT'!$CM$6:$CM$747)))</f>
        <v>0</v>
      </c>
      <c r="O88" s="1681"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2055"/>
      <c r="Q88" s="2055"/>
      <c r="R88" s="2055"/>
      <c r="S88" s="2056"/>
      <c r="T88" s="1682"/>
      <c r="U88" s="1683"/>
      <c r="V88" s="1222" t="str">
        <f>IFERROR(IF(ISBLANK(K88)," ",_xlfn.XLOOKUP(K88,'Rates &amp; Drop Downs INT'!C:C,'Rates &amp; Drop Downs INT'!J:J)),N88)</f>
        <v xml:space="preserve"> </v>
      </c>
      <c r="W88" s="1203" t="str">
        <f t="shared" si="0"/>
        <v xml:space="preserve"> </v>
      </c>
      <c r="X88" s="1203"/>
      <c r="Y88" s="880" t="s">
        <v>2271</v>
      </c>
      <c r="Z88" s="1187"/>
      <c r="AA88" s="1190"/>
      <c r="AB88" s="1274"/>
      <c r="AC88" s="1653"/>
      <c r="AD88" s="1654"/>
      <c r="AE88" s="881"/>
      <c r="AF88" s="892"/>
      <c r="AH88" s="1709"/>
      <c r="AI88" s="1709"/>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1"/>
        <v>0</v>
      </c>
      <c r="K89" s="1674"/>
      <c r="L89" s="1675"/>
      <c r="M89" s="1676"/>
      <c r="N89" s="1190" cm="1">
        <f t="array" ref="N89">IF($E$20="Credera US",V89,SUMPRODUCT(('Rates &amp; Drop Downs INT'!$CG$6:$CG$747=$D89)*('Rates &amp; Drop Downs INT'!$CI$6:$CI$747=$F89)*('Rates &amp; Drop Downs INT'!$CK$6:$CK$747=$K89)*('Rates &amp; Drop Downs INT'!$CM$6:$CM$747)))</f>
        <v>0</v>
      </c>
      <c r="O89" s="1681"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2055"/>
      <c r="Q89" s="2055"/>
      <c r="R89" s="2055"/>
      <c r="S89" s="2056"/>
      <c r="T89" s="1682"/>
      <c r="U89" s="1683"/>
      <c r="V89" s="1222" t="str">
        <f>IFERROR(IF(ISBLANK(K89)," ",_xlfn.XLOOKUP(K89,'Rates &amp; Drop Downs INT'!C:C,'Rates &amp; Drop Downs INT'!J:J)),N89)</f>
        <v xml:space="preserve"> </v>
      </c>
      <c r="W89" s="1203" t="str">
        <f t="shared" si="0"/>
        <v xml:space="preserve"> </v>
      </c>
      <c r="X89" s="1203"/>
      <c r="Y89" s="880" t="s">
        <v>2271</v>
      </c>
      <c r="Z89" s="1187"/>
      <c r="AA89" s="1190"/>
      <c r="AB89" s="1274"/>
      <c r="AC89" s="1653"/>
      <c r="AD89" s="1654"/>
      <c r="AE89" s="881"/>
      <c r="AF89" s="892"/>
      <c r="AH89" s="1709"/>
      <c r="AI89" s="1709"/>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1"/>
        <v>0</v>
      </c>
      <c r="K90" s="1674"/>
      <c r="L90" s="1675"/>
      <c r="M90" s="1676"/>
      <c r="N90" s="1190" cm="1">
        <f t="array" ref="N90">IF($E$20="Credera US",V90,SUMPRODUCT(('Rates &amp; Drop Downs INT'!$CG$6:$CG$747=$D90)*('Rates &amp; Drop Downs INT'!$CI$6:$CI$747=$F90)*('Rates &amp; Drop Downs INT'!$CK$6:$CK$747=$K90)*('Rates &amp; Drop Downs INT'!$CM$6:$CM$747)))</f>
        <v>0</v>
      </c>
      <c r="O90" s="1681"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2055"/>
      <c r="Q90" s="2055"/>
      <c r="R90" s="2055"/>
      <c r="S90" s="2056"/>
      <c r="T90" s="1682"/>
      <c r="U90" s="1683"/>
      <c r="V90" s="1222" t="str">
        <f>IFERROR(IF(ISBLANK(K90)," ",_xlfn.XLOOKUP(K90,'Rates &amp; Drop Downs INT'!C:C,'Rates &amp; Drop Downs INT'!J:J)),N90)</f>
        <v xml:space="preserve"> </v>
      </c>
      <c r="W90" s="1203" t="str">
        <f t="shared" si="0"/>
        <v xml:space="preserve"> </v>
      </c>
      <c r="X90" s="1203"/>
      <c r="Y90" s="880" t="s">
        <v>2271</v>
      </c>
      <c r="Z90" s="1187"/>
      <c r="AA90" s="1190"/>
      <c r="AB90" s="1274"/>
      <c r="AC90" s="1653"/>
      <c r="AD90" s="1654"/>
      <c r="AE90" s="881"/>
      <c r="AF90" s="892"/>
      <c r="AH90" s="1709"/>
      <c r="AI90" s="1709"/>
      <c r="AJ90" s="413"/>
      <c r="AK90" s="413"/>
      <c r="AL90" s="413"/>
      <c r="AM90" s="413"/>
      <c r="CM90" s="425"/>
    </row>
    <row r="91" spans="3:91" ht="16" customHeight="1" outlineLevel="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1"/>
        <v>0</v>
      </c>
      <c r="K91" s="1674"/>
      <c r="L91" s="1675"/>
      <c r="M91" s="1676"/>
      <c r="N91" s="1190" cm="1">
        <f t="array" ref="N91">IF($E$20="Credera US",V91,SUMPRODUCT(('Rates &amp; Drop Downs INT'!$CG$6:$CG$747=$D91)*('Rates &amp; Drop Downs INT'!$CI$6:$CI$747=$F91)*('Rates &amp; Drop Downs INT'!$CK$6:$CK$747=$K91)*('Rates &amp; Drop Downs INT'!$CM$6:$CM$747)))</f>
        <v>0</v>
      </c>
      <c r="O91" s="1681"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2055"/>
      <c r="Q91" s="2055"/>
      <c r="R91" s="2055"/>
      <c r="S91" s="2056"/>
      <c r="T91" s="1682"/>
      <c r="U91" s="1683"/>
      <c r="V91" s="1222" t="str">
        <f>IFERROR(IF(ISBLANK(K91)," ",_xlfn.XLOOKUP(K91,'Rates &amp; Drop Downs INT'!C:C,'Rates &amp; Drop Downs INT'!J:J)),N91)</f>
        <v xml:space="preserve"> </v>
      </c>
      <c r="W91" s="1203" t="str">
        <f t="shared" si="0"/>
        <v xml:space="preserve"> </v>
      </c>
      <c r="X91" s="1203"/>
      <c r="Y91" s="880" t="s">
        <v>2271</v>
      </c>
      <c r="Z91" s="1187"/>
      <c r="AA91" s="1190"/>
      <c r="AB91" s="1274"/>
      <c r="AC91" s="1653"/>
      <c r="AD91" s="1654"/>
      <c r="AE91" s="881"/>
      <c r="AF91" s="892"/>
      <c r="AH91" s="1709"/>
      <c r="AI91" s="1709"/>
      <c r="AJ91" s="413"/>
      <c r="AK91" s="413"/>
      <c r="AL91" s="413"/>
      <c r="AM91" s="413"/>
      <c r="CM91" s="425"/>
    </row>
    <row r="92" spans="3:91" ht="16" customHeight="1" outlineLevel="1"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1"/>
        <v>0</v>
      </c>
      <c r="K92" s="1674"/>
      <c r="L92" s="1675"/>
      <c r="M92" s="1676"/>
      <c r="N92" s="1190" cm="1">
        <f t="array" ref="N92">IF($E$20="Credera US",V92,SUMPRODUCT(('Rates &amp; Drop Downs INT'!$CG$6:$CG$747=$D92)*('Rates &amp; Drop Downs INT'!$CI$6:$CI$747=$F92)*('Rates &amp; Drop Downs INT'!$CK$6:$CK$747=$K92)*('Rates &amp; Drop Downs INT'!$CM$6:$CM$747)))</f>
        <v>0</v>
      </c>
      <c r="O92" s="1681"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2055"/>
      <c r="Q92" s="2055"/>
      <c r="R92" s="2055"/>
      <c r="S92" s="2056"/>
      <c r="T92" s="1682"/>
      <c r="U92" s="1683"/>
      <c r="V92" s="1222" t="str">
        <f>IFERROR(IF(ISBLANK(K92)," ",_xlfn.XLOOKUP(K92,'Rates &amp; Drop Downs INT'!C:C,'Rates &amp; Drop Downs INT'!J:J)),N92)</f>
        <v xml:space="preserve"> </v>
      </c>
      <c r="W92" s="1203" t="str">
        <f t="shared" si="0"/>
        <v xml:space="preserve"> </v>
      </c>
      <c r="X92" s="1203"/>
      <c r="Y92" s="880" t="s">
        <v>2271</v>
      </c>
      <c r="Z92" s="1187"/>
      <c r="AA92" s="1190"/>
      <c r="AB92" s="1274"/>
      <c r="AC92" s="1653"/>
      <c r="AD92" s="1654"/>
      <c r="AE92" s="881"/>
      <c r="AF92" s="892"/>
      <c r="AH92" s="1709"/>
      <c r="AI92" s="1709"/>
      <c r="AJ92" s="413"/>
      <c r="AK92" s="413"/>
      <c r="AL92" s="413"/>
      <c r="AM92" s="413"/>
      <c r="CM92" s="425"/>
    </row>
    <row r="93" spans="3:91" ht="16" customHeight="1" outlineLevel="1"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1"/>
        <v>0</v>
      </c>
      <c r="K93" s="1674"/>
      <c r="L93" s="1675"/>
      <c r="M93" s="1676"/>
      <c r="N93" s="1190" cm="1">
        <f t="array" ref="N93">IF($E$20="Credera US",V93,SUMPRODUCT(('Rates &amp; Drop Downs INT'!$CG$6:$CG$747=$D93)*('Rates &amp; Drop Downs INT'!$CI$6:$CI$747=$F93)*('Rates &amp; Drop Downs INT'!$CK$6:$CK$747=$K93)*('Rates &amp; Drop Downs INT'!$CM$6:$CM$747)))</f>
        <v>0</v>
      </c>
      <c r="O93" s="1681"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2055"/>
      <c r="Q93" s="2055"/>
      <c r="R93" s="2055"/>
      <c r="S93" s="2056"/>
      <c r="T93" s="1682"/>
      <c r="U93" s="1683"/>
      <c r="V93" s="1222" t="str">
        <f>IFERROR(IF(ISBLANK(K93)," ",_xlfn.XLOOKUP(K93,'Rates &amp; Drop Downs INT'!C:C,'Rates &amp; Drop Downs INT'!J:J)),N93)</f>
        <v xml:space="preserve"> </v>
      </c>
      <c r="W93" s="1203" t="str">
        <f t="shared" si="0"/>
        <v xml:space="preserve"> </v>
      </c>
      <c r="X93" s="1203"/>
      <c r="Y93" s="880" t="s">
        <v>2271</v>
      </c>
      <c r="Z93" s="1187"/>
      <c r="AA93" s="1190"/>
      <c r="AB93" s="1274"/>
      <c r="AC93" s="1653"/>
      <c r="AD93" s="1654"/>
      <c r="AE93" s="881"/>
      <c r="AF93" s="892"/>
      <c r="AH93" s="1709"/>
      <c r="AI93" s="1709"/>
      <c r="AJ93" s="413"/>
      <c r="AK93" s="413"/>
      <c r="AL93" s="413"/>
      <c r="AM93" s="413"/>
      <c r="CM93" s="425"/>
    </row>
    <row r="94" spans="3:91" ht="16" customHeight="1" outlineLevel="1"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1"/>
        <v>0</v>
      </c>
      <c r="K94" s="1674"/>
      <c r="L94" s="1675"/>
      <c r="M94" s="1676"/>
      <c r="N94" s="1190" cm="1">
        <f t="array" ref="N94">IF($E$20="Credera US",V94,SUMPRODUCT(('Rates &amp; Drop Downs INT'!$CG$6:$CG$747=$D94)*('Rates &amp; Drop Downs INT'!$CI$6:$CI$747=$F94)*('Rates &amp; Drop Downs INT'!$CK$6:$CK$747=$K94)*('Rates &amp; Drop Downs INT'!$CM$6:$CM$747)))</f>
        <v>0</v>
      </c>
      <c r="O94" s="1681"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2055"/>
      <c r="Q94" s="2055"/>
      <c r="R94" s="2055"/>
      <c r="S94" s="2056"/>
      <c r="T94" s="1682"/>
      <c r="U94" s="1683"/>
      <c r="V94" s="1222" t="str">
        <f>IFERROR(IF(ISBLANK(K94)," ",_xlfn.XLOOKUP(K94,'Rates &amp; Drop Downs INT'!C:C,'Rates &amp; Drop Downs INT'!J:J)),N94)</f>
        <v xml:space="preserve"> </v>
      </c>
      <c r="W94" s="1203" t="str">
        <f t="shared" si="0"/>
        <v xml:space="preserve"> </v>
      </c>
      <c r="X94" s="1203"/>
      <c r="Y94" s="880" t="s">
        <v>2271</v>
      </c>
      <c r="Z94" s="1187"/>
      <c r="AA94" s="1190"/>
      <c r="AB94" s="1274"/>
      <c r="AC94" s="1653"/>
      <c r="AD94" s="1654"/>
      <c r="AE94" s="881"/>
      <c r="AF94" s="892"/>
      <c r="AH94" s="1709"/>
      <c r="AI94" s="1709"/>
      <c r="AJ94" s="413"/>
      <c r="AK94" s="413"/>
      <c r="AL94" s="413"/>
      <c r="AM94" s="413"/>
      <c r="CM94" s="425"/>
    </row>
    <row r="95" spans="3:91" ht="16" customHeight="1" outlineLevel="1"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1"/>
        <v>0</v>
      </c>
      <c r="K95" s="1674"/>
      <c r="L95" s="1675"/>
      <c r="M95" s="1676"/>
      <c r="N95" s="1190" cm="1">
        <f t="array" ref="N95">IF($E$20="Credera US",V95,SUMPRODUCT(('Rates &amp; Drop Downs INT'!$CG$6:$CG$747=$D95)*('Rates &amp; Drop Downs INT'!$CI$6:$CI$747=$F95)*('Rates &amp; Drop Downs INT'!$CK$6:$CK$747=$K95)*('Rates &amp; Drop Downs INT'!$CM$6:$CM$747)))</f>
        <v>0</v>
      </c>
      <c r="O95" s="1681"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2055"/>
      <c r="Q95" s="2055"/>
      <c r="R95" s="2055"/>
      <c r="S95" s="2056"/>
      <c r="T95" s="1682"/>
      <c r="U95" s="1683"/>
      <c r="V95" s="1222" t="str">
        <f>IFERROR(IF(ISBLANK(K95)," ",_xlfn.XLOOKUP(K95,'Rates &amp; Drop Downs INT'!C:C,'Rates &amp; Drop Downs INT'!J:J)),N95)</f>
        <v xml:space="preserve"> </v>
      </c>
      <c r="W95" s="1203" t="str">
        <f t="shared" si="0"/>
        <v xml:space="preserve"> </v>
      </c>
      <c r="X95" s="1203"/>
      <c r="Y95" s="880" t="s">
        <v>2271</v>
      </c>
      <c r="Z95" s="1187"/>
      <c r="AA95" s="1190"/>
      <c r="AB95" s="1274"/>
      <c r="AC95" s="1653"/>
      <c r="AD95" s="1654"/>
      <c r="AE95" s="881"/>
      <c r="AF95" s="892"/>
      <c r="AH95" s="1709"/>
      <c r="AI95" s="1709"/>
      <c r="AJ95" s="413"/>
      <c r="AK95" s="413"/>
      <c r="AL95" s="413"/>
      <c r="AM95" s="413"/>
      <c r="CM95" s="425"/>
    </row>
    <row r="96" spans="3:91" ht="16" customHeight="1" outlineLevel="1"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1"/>
        <v>0</v>
      </c>
      <c r="K96" s="1674"/>
      <c r="L96" s="1675"/>
      <c r="M96" s="1676"/>
      <c r="N96" s="1190" cm="1">
        <f t="array" ref="N96">IF($E$20="Credera US",V96,SUMPRODUCT(('Rates &amp; Drop Downs INT'!$CG$6:$CG$747=$D96)*('Rates &amp; Drop Downs INT'!$CI$6:$CI$747=$F96)*('Rates &amp; Drop Downs INT'!$CK$6:$CK$747=$K96)*('Rates &amp; Drop Downs INT'!$CM$6:$CM$747)))</f>
        <v>0</v>
      </c>
      <c r="O96" s="1681"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2055"/>
      <c r="Q96" s="2055"/>
      <c r="R96" s="2055"/>
      <c r="S96" s="2056"/>
      <c r="T96" s="1682"/>
      <c r="U96" s="1683"/>
      <c r="V96" s="1222" t="str">
        <f>IFERROR(IF(ISBLANK(K96)," ",_xlfn.XLOOKUP(K96,'Rates &amp; Drop Downs INT'!C:C,'Rates &amp; Drop Downs INT'!J:J)),N96)</f>
        <v xml:space="preserve"> </v>
      </c>
      <c r="W96" s="1203" t="str">
        <f t="shared" si="0"/>
        <v xml:space="preserve"> </v>
      </c>
      <c r="X96" s="1203"/>
      <c r="Y96" s="880" t="s">
        <v>2271</v>
      </c>
      <c r="Z96" s="1187"/>
      <c r="AA96" s="1190"/>
      <c r="AB96" s="1274"/>
      <c r="AC96" s="1653"/>
      <c r="AD96" s="1654"/>
      <c r="AE96" s="881"/>
      <c r="AF96" s="892"/>
      <c r="AH96" s="1709"/>
      <c r="AI96" s="1709"/>
      <c r="AJ96" s="413"/>
      <c r="AK96" s="413"/>
      <c r="AL96" s="413"/>
      <c r="AM96" s="413"/>
      <c r="CM96" s="425"/>
    </row>
    <row r="97" spans="3:91" ht="16" customHeight="1" outlineLevel="1"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1"/>
        <v>0</v>
      </c>
      <c r="K97" s="1674"/>
      <c r="L97" s="1675"/>
      <c r="M97" s="1676"/>
      <c r="N97" s="1190" cm="1">
        <f t="array" ref="N97">IF($E$20="Credera US",V97,SUMPRODUCT(('Rates &amp; Drop Downs INT'!$CG$6:$CG$747=$D97)*('Rates &amp; Drop Downs INT'!$CI$6:$CI$747=$F97)*('Rates &amp; Drop Downs INT'!$CK$6:$CK$747=$K97)*('Rates &amp; Drop Downs INT'!$CM$6:$CM$747)))</f>
        <v>0</v>
      </c>
      <c r="O97" s="1681"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2055"/>
      <c r="Q97" s="2055"/>
      <c r="R97" s="2055"/>
      <c r="S97" s="2056"/>
      <c r="T97" s="1682"/>
      <c r="U97" s="1683"/>
      <c r="V97" s="1222" t="str">
        <f>IFERROR(IF(ISBLANK(K97)," ",_xlfn.XLOOKUP(K97,'Rates &amp; Drop Downs INT'!C:C,'Rates &amp; Drop Downs INT'!J:J)),N97)</f>
        <v xml:space="preserve"> </v>
      </c>
      <c r="W97" s="1203" t="str">
        <f t="shared" si="0"/>
        <v xml:space="preserve"> </v>
      </c>
      <c r="X97" s="1203"/>
      <c r="Y97" s="880" t="s">
        <v>2271</v>
      </c>
      <c r="Z97" s="1187"/>
      <c r="AA97" s="1190"/>
      <c r="AB97" s="1274"/>
      <c r="AC97" s="1653"/>
      <c r="AD97" s="1654"/>
      <c r="AE97" s="881"/>
      <c r="AF97" s="892"/>
      <c r="AH97" s="1709"/>
      <c r="AI97" s="1709"/>
      <c r="AJ97" s="413"/>
      <c r="AK97" s="413"/>
      <c r="AL97" s="413"/>
      <c r="AM97" s="413"/>
      <c r="CM97" s="425"/>
    </row>
    <row r="98" spans="3:91" ht="16" customHeight="1"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1"/>
        <v>0</v>
      </c>
      <c r="K98" s="1674"/>
      <c r="L98" s="1675"/>
      <c r="M98" s="1676"/>
      <c r="N98" s="1190" cm="1">
        <f t="array" ref="N98">IF($E$20="Credera US",V98,SUMPRODUCT(('Rates &amp; Drop Downs INT'!$CG$6:$CG$747=$D98)*('Rates &amp; Drop Downs INT'!$CI$6:$CI$747=$F98)*('Rates &amp; Drop Downs INT'!$CK$6:$CK$747=$K98)*('Rates &amp; Drop Downs INT'!$CM$6:$CM$747)))</f>
        <v>0</v>
      </c>
      <c r="O98" s="1681"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2055"/>
      <c r="Q98" s="2055"/>
      <c r="R98" s="2055"/>
      <c r="S98" s="2056"/>
      <c r="T98" s="1682"/>
      <c r="U98" s="1683"/>
      <c r="V98" s="1222" t="str">
        <f>IFERROR(IF(ISBLANK(K98)," ",_xlfn.XLOOKUP(K98,'Rates &amp; Drop Downs INT'!C:C,'Rates &amp; Drop Downs INT'!J:J)),N98)</f>
        <v xml:space="preserve"> </v>
      </c>
      <c r="W98" s="1203" t="str">
        <f t="shared" si="0"/>
        <v xml:space="preserve"> </v>
      </c>
      <c r="X98" s="1203"/>
      <c r="Y98" s="880" t="s">
        <v>2271</v>
      </c>
      <c r="Z98" s="1187"/>
      <c r="AA98" s="1190"/>
      <c r="AB98" s="1274"/>
      <c r="AC98" s="1653"/>
      <c r="AD98" s="1654"/>
      <c r="AE98" s="881"/>
      <c r="AF98" s="892"/>
      <c r="AH98" s="1709"/>
      <c r="AI98" s="1709"/>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1"/>
        <v>0</v>
      </c>
      <c r="K99" s="1674"/>
      <c r="L99" s="1675"/>
      <c r="M99" s="1676"/>
      <c r="N99" s="1189" cm="1">
        <f t="array" ref="N99">IF($E$20="Credera US",V99,SUMPRODUCT(('Rates &amp; Drop Downs INT'!$CG$6:$CG$747=$D99)*('Rates &amp; Drop Downs INT'!$CI$6:$CI$747=$F99)*('Rates &amp; Drop Downs INT'!$CK$6:$CK$747=$K99)*('Rates &amp; Drop Downs INT'!$CM$6:$CM$747)))</f>
        <v>0</v>
      </c>
      <c r="O99" s="1681"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2055"/>
      <c r="Q99" s="2055"/>
      <c r="R99" s="2055"/>
      <c r="S99" s="2056"/>
      <c r="T99" s="1679"/>
      <c r="U99" s="1679"/>
      <c r="V99" s="1203" t="str">
        <f>IFERROR(IF(ISBLANK(K99)," ",_xlfn.XLOOKUP(K99,'Rates &amp; Drop Downs INT'!C:C,'Rates &amp; Drop Downs INT'!J:J)),N99)</f>
        <v xml:space="preserve"> </v>
      </c>
      <c r="W99" s="1203" t="str">
        <f t="shared" si="0"/>
        <v xml:space="preserve"> </v>
      </c>
      <c r="X99" s="1203"/>
      <c r="Y99" s="880" t="s">
        <v>2271</v>
      </c>
      <c r="Z99" s="1187"/>
      <c r="AA99" s="1190"/>
      <c r="AB99" s="1274" t="str">
        <f t="shared" ref="AB99:AB130" si="2">IF(COUNTIF($D221:$BC221,"&gt;0")=0,"",COUNTIF($D221:$BC221,"&gt;0"))</f>
        <v/>
      </c>
      <c r="AC99" s="1653"/>
      <c r="AD99" s="1654"/>
      <c r="AE99" s="881"/>
      <c r="AF99" s="892"/>
      <c r="AH99" s="1709"/>
      <c r="AI99" s="1709"/>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1"/>
        <v>0</v>
      </c>
      <c r="K100" s="1674"/>
      <c r="L100" s="1675"/>
      <c r="M100" s="1676"/>
      <c r="N100" s="1189" cm="1">
        <f t="array" ref="N100">IF($E$20="Credera US",V100,SUMPRODUCT(('Rates &amp; Drop Downs INT'!$CG$6:$CG$747=$D100)*('Rates &amp; Drop Downs INT'!$CI$6:$CI$747=$F100)*('Rates &amp; Drop Downs INT'!$CK$6:$CK$747=$K100)*('Rates &amp; Drop Downs INT'!$CM$6:$CM$747)))</f>
        <v>0</v>
      </c>
      <c r="O100" s="1681"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2055"/>
      <c r="Q100" s="2055"/>
      <c r="R100" s="2055"/>
      <c r="S100" s="2056"/>
      <c r="T100" s="1679"/>
      <c r="U100" s="1679"/>
      <c r="V100" s="1203" t="str">
        <f>IFERROR(IF(ISBLANK(K100)," ",_xlfn.XLOOKUP(K100,'Rates &amp; Drop Downs INT'!C:C,'Rates &amp; Drop Downs INT'!J:J)),N100)</f>
        <v xml:space="preserve"> </v>
      </c>
      <c r="W100" s="1203" t="str">
        <f t="shared" si="0"/>
        <v xml:space="preserve"> </v>
      </c>
      <c r="X100" s="1203"/>
      <c r="Y100" s="880" t="s">
        <v>2271</v>
      </c>
      <c r="Z100" s="1187"/>
      <c r="AA100" s="1190"/>
      <c r="AB100" s="1274" t="str">
        <f t="shared" si="2"/>
        <v/>
      </c>
      <c r="AC100" s="1653"/>
      <c r="AD100" s="1654"/>
      <c r="AE100" s="881"/>
      <c r="AF100" s="892"/>
      <c r="AH100" s="1709"/>
      <c r="AI100" s="1709"/>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1"/>
        <v>0</v>
      </c>
      <c r="K101" s="1674"/>
      <c r="L101" s="1675"/>
      <c r="M101" s="1676"/>
      <c r="N101" s="1189" cm="1">
        <f t="array" ref="N101">IF($E$20="Credera US",V101,SUMPRODUCT(('Rates &amp; Drop Downs INT'!$CG$6:$CG$747=$D101)*('Rates &amp; Drop Downs INT'!$CI$6:$CI$747=$F101)*('Rates &amp; Drop Downs INT'!$CK$6:$CK$747=$K101)*('Rates &amp; Drop Downs INT'!$CM$6:$CM$747)))</f>
        <v>0</v>
      </c>
      <c r="O101" s="1681"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2055"/>
      <c r="Q101" s="2055"/>
      <c r="R101" s="2055"/>
      <c r="S101" s="2056"/>
      <c r="T101" s="1679"/>
      <c r="U101" s="1679"/>
      <c r="V101" s="1203" t="str">
        <f>IFERROR(IF(ISBLANK(K101)," ",_xlfn.XLOOKUP(K101,'Rates &amp; Drop Downs INT'!C:C,'Rates &amp; Drop Downs INT'!J:J)),N101)</f>
        <v xml:space="preserve"> </v>
      </c>
      <c r="W101" s="1203" t="str">
        <f t="shared" si="0"/>
        <v xml:space="preserve"> </v>
      </c>
      <c r="X101" s="1203"/>
      <c r="Y101" s="880" t="s">
        <v>2271</v>
      </c>
      <c r="Z101" s="1187"/>
      <c r="AA101" s="1190"/>
      <c r="AB101" s="1274" t="str">
        <f t="shared" si="2"/>
        <v/>
      </c>
      <c r="AC101" s="1653"/>
      <c r="AD101" s="1654"/>
      <c r="AE101" s="881"/>
      <c r="AF101" s="892"/>
      <c r="AH101" s="1709"/>
      <c r="AI101" s="1709"/>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1"/>
        <v>0</v>
      </c>
      <c r="K102" s="1674"/>
      <c r="L102" s="1675"/>
      <c r="M102" s="1676"/>
      <c r="N102" s="1189" cm="1">
        <f t="array" ref="N102">IF($E$20="Credera US",V102,SUMPRODUCT(('Rates &amp; Drop Downs INT'!$CG$6:$CG$747=$D102)*('Rates &amp; Drop Downs INT'!$CI$6:$CI$747=$F102)*('Rates &amp; Drop Downs INT'!$CK$6:$CK$747=$K102)*('Rates &amp; Drop Downs INT'!$CM$6:$CM$747)))</f>
        <v>0</v>
      </c>
      <c r="O102" s="1681"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2055"/>
      <c r="Q102" s="2055"/>
      <c r="R102" s="2055"/>
      <c r="S102" s="2056"/>
      <c r="T102" s="1679"/>
      <c r="U102" s="1679"/>
      <c r="V102" s="1203" t="str">
        <f>IFERROR(IF(ISBLANK(K102)," ",_xlfn.XLOOKUP(K102,'Rates &amp; Drop Downs INT'!C:C,'Rates &amp; Drop Downs INT'!J:J)),N102)</f>
        <v xml:space="preserve"> </v>
      </c>
      <c r="W102" s="1203" t="str">
        <f t="shared" si="0"/>
        <v xml:space="preserve"> </v>
      </c>
      <c r="X102" s="1203"/>
      <c r="Y102" s="880" t="s">
        <v>2271</v>
      </c>
      <c r="Z102" s="1187"/>
      <c r="AA102" s="1190"/>
      <c r="AB102" s="1274" t="str">
        <f t="shared" si="2"/>
        <v/>
      </c>
      <c r="AC102" s="1653"/>
      <c r="AD102" s="1654"/>
      <c r="AE102" s="881"/>
      <c r="AF102" s="892"/>
      <c r="AH102" s="1709"/>
      <c r="AI102" s="1709"/>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1"/>
        <v>0</v>
      </c>
      <c r="K103" s="1674"/>
      <c r="L103" s="1675"/>
      <c r="M103" s="1676"/>
      <c r="N103" s="1189" cm="1">
        <f t="array" ref="N103">IF($E$20="Credera US",V103,SUMPRODUCT(('Rates &amp; Drop Downs INT'!$CG$6:$CG$747=$D103)*('Rates &amp; Drop Downs INT'!$CI$6:$CI$747=$F103)*('Rates &amp; Drop Downs INT'!$CK$6:$CK$747=$K103)*('Rates &amp; Drop Downs INT'!$CM$6:$CM$747)))</f>
        <v>0</v>
      </c>
      <c r="O103" s="1681"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2055"/>
      <c r="Q103" s="2055"/>
      <c r="R103" s="2055"/>
      <c r="S103" s="2056"/>
      <c r="T103" s="1679"/>
      <c r="U103" s="1679"/>
      <c r="V103" s="1203" t="str">
        <f>IFERROR(IF(ISBLANK(K103)," ",_xlfn.XLOOKUP(K103,'Rates &amp; Drop Downs INT'!C:C,'Rates &amp; Drop Downs INT'!J:J)),N103)</f>
        <v xml:space="preserve"> </v>
      </c>
      <c r="W103" s="1203" t="str">
        <f t="shared" si="0"/>
        <v xml:space="preserve"> </v>
      </c>
      <c r="X103" s="1203"/>
      <c r="Y103" s="880" t="s">
        <v>2271</v>
      </c>
      <c r="Z103" s="1187"/>
      <c r="AA103" s="1190"/>
      <c r="AB103" s="1274" t="str">
        <f t="shared" si="2"/>
        <v/>
      </c>
      <c r="AC103" s="1653"/>
      <c r="AD103" s="1654"/>
      <c r="AE103" s="881"/>
      <c r="AF103" s="892"/>
      <c r="AH103" s="1709"/>
      <c r="AI103" s="1709"/>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1"/>
        <v>0</v>
      </c>
      <c r="K104" s="1674"/>
      <c r="L104" s="1675"/>
      <c r="M104" s="1676"/>
      <c r="N104" s="1189" cm="1">
        <f t="array" ref="N104">IF($E$20="Credera US",V104,SUMPRODUCT(('Rates &amp; Drop Downs INT'!$CG$6:$CG$747=$D104)*('Rates &amp; Drop Downs INT'!$CI$6:$CI$747=$F104)*('Rates &amp; Drop Downs INT'!$CK$6:$CK$747=$K104)*('Rates &amp; Drop Downs INT'!$CM$6:$CM$747)))</f>
        <v>0</v>
      </c>
      <c r="O104" s="1681"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2055"/>
      <c r="Q104" s="2055"/>
      <c r="R104" s="2055"/>
      <c r="S104" s="2056"/>
      <c r="T104" s="1679"/>
      <c r="U104" s="1679"/>
      <c r="V104" s="1203" t="str">
        <f>IFERROR(IF(ISBLANK(K104)," ",_xlfn.XLOOKUP(K104,'Rates &amp; Drop Downs INT'!C:C,'Rates &amp; Drop Downs INT'!J:J)),N104)</f>
        <v xml:space="preserve"> </v>
      </c>
      <c r="W104" s="1203" t="str">
        <f t="shared" si="0"/>
        <v xml:space="preserve"> </v>
      </c>
      <c r="X104" s="1203"/>
      <c r="Y104" s="880" t="s">
        <v>2271</v>
      </c>
      <c r="Z104" s="1187"/>
      <c r="AA104" s="1190"/>
      <c r="AB104" s="1274" t="str">
        <f t="shared" si="2"/>
        <v/>
      </c>
      <c r="AC104" s="1653"/>
      <c r="AD104" s="1654"/>
      <c r="AE104" s="881"/>
      <c r="AF104" s="892"/>
      <c r="AH104" s="1709"/>
      <c r="AI104" s="1709"/>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1"/>
        <v>0</v>
      </c>
      <c r="K105" s="1674"/>
      <c r="L105" s="1675"/>
      <c r="M105" s="1676"/>
      <c r="N105" s="1189" cm="1">
        <f t="array" ref="N105">IF($E$20="Credera US",V105,SUMPRODUCT(('Rates &amp; Drop Downs INT'!$CG$6:$CG$747=$D105)*('Rates &amp; Drop Downs INT'!$CI$6:$CI$747=$F105)*('Rates &amp; Drop Downs INT'!$CK$6:$CK$747=$K105)*('Rates &amp; Drop Downs INT'!$CM$6:$CM$747)))</f>
        <v>0</v>
      </c>
      <c r="O105" s="1681"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2055"/>
      <c r="Q105" s="2055"/>
      <c r="R105" s="2055"/>
      <c r="S105" s="2056"/>
      <c r="T105" s="1679"/>
      <c r="U105" s="1679"/>
      <c r="V105" s="1203" t="str">
        <f>IFERROR(IF(ISBLANK(K105)," ",_xlfn.XLOOKUP(K105,'Rates &amp; Drop Downs INT'!C:C,'Rates &amp; Drop Downs INT'!J:J)),N105)</f>
        <v xml:space="preserve"> </v>
      </c>
      <c r="W105" s="1203" t="str">
        <f t="shared" si="0"/>
        <v xml:space="preserve"> </v>
      </c>
      <c r="X105" s="1203"/>
      <c r="Y105" s="880" t="s">
        <v>2271</v>
      </c>
      <c r="Z105" s="1187"/>
      <c r="AA105" s="1190"/>
      <c r="AB105" s="1274" t="str">
        <f t="shared" si="2"/>
        <v/>
      </c>
      <c r="AC105" s="1653"/>
      <c r="AD105" s="1654"/>
      <c r="AE105" s="881"/>
      <c r="AF105" s="892"/>
      <c r="AH105" s="1709"/>
      <c r="AI105" s="1709"/>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si="1"/>
        <v>0</v>
      </c>
      <c r="K106" s="1674"/>
      <c r="L106" s="1675"/>
      <c r="M106" s="1676"/>
      <c r="N106" s="1189" cm="1">
        <f t="array" ref="N106">IF($E$20="Credera US",V106,SUMPRODUCT(('Rates &amp; Drop Downs INT'!$CG$6:$CG$747=$D106)*('Rates &amp; Drop Downs INT'!$CI$6:$CI$747=$F106)*('Rates &amp; Drop Downs INT'!$CK$6:$CK$747=$K106)*('Rates &amp; Drop Downs INT'!$CM$6:$CM$747)))</f>
        <v>0</v>
      </c>
      <c r="O106" s="1681"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2055"/>
      <c r="Q106" s="2055"/>
      <c r="R106" s="2055"/>
      <c r="S106" s="2056"/>
      <c r="T106" s="1679"/>
      <c r="U106" s="1679"/>
      <c r="V106" s="1203" t="str">
        <f>IFERROR(IF(ISBLANK(K106)," ",_xlfn.XLOOKUP(K106,'Rates &amp; Drop Downs INT'!C:C,'Rates &amp; Drop Downs INT'!J:J)),N106)</f>
        <v xml:space="preserve"> </v>
      </c>
      <c r="W106" s="1203" t="str">
        <f t="shared" si="0"/>
        <v xml:space="preserve"> </v>
      </c>
      <c r="X106" s="1203"/>
      <c r="Y106" s="880" t="s">
        <v>2271</v>
      </c>
      <c r="Z106" s="1187"/>
      <c r="AA106" s="1190"/>
      <c r="AB106" s="1274" t="str">
        <f t="shared" si="2"/>
        <v/>
      </c>
      <c r="AC106" s="1653"/>
      <c r="AD106" s="1654"/>
      <c r="AE106" s="881"/>
      <c r="AF106" s="892"/>
      <c r="AH106" s="1709"/>
      <c r="AI106" s="1709"/>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1"/>
        <v>0</v>
      </c>
      <c r="K107" s="1674"/>
      <c r="L107" s="1675"/>
      <c r="M107" s="1676"/>
      <c r="N107" s="1189" cm="1">
        <f t="array" ref="N107">IF($E$20="Credera US",V107,SUMPRODUCT(('Rates &amp; Drop Downs INT'!$CG$6:$CG$747=$D107)*('Rates &amp; Drop Downs INT'!$CI$6:$CI$747=$F107)*('Rates &amp; Drop Downs INT'!$CK$6:$CK$747=$K107)*('Rates &amp; Drop Downs INT'!$CM$6:$CM$747)))</f>
        <v>0</v>
      </c>
      <c r="O107" s="1681"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2055"/>
      <c r="Q107" s="2055"/>
      <c r="R107" s="2055"/>
      <c r="S107" s="2056"/>
      <c r="T107" s="1679"/>
      <c r="U107" s="1679"/>
      <c r="V107" s="1203" t="str">
        <f>IFERROR(IF(ISBLANK(K107)," ",_xlfn.XLOOKUP(K107,'Rates &amp; Drop Downs INT'!C:C,'Rates &amp; Drop Downs INT'!J:J)),N107)</f>
        <v xml:space="preserve"> </v>
      </c>
      <c r="W107" s="1203" t="str">
        <f t="shared" si="0"/>
        <v xml:space="preserve"> </v>
      </c>
      <c r="X107" s="1203"/>
      <c r="Y107" s="880" t="s">
        <v>2271</v>
      </c>
      <c r="Z107" s="1187"/>
      <c r="AA107" s="1190"/>
      <c r="AB107" s="1274" t="str">
        <f t="shared" si="2"/>
        <v/>
      </c>
      <c r="AC107" s="1653"/>
      <c r="AD107" s="1654"/>
      <c r="AE107" s="881"/>
      <c r="AF107" s="892"/>
      <c r="AH107" s="1709"/>
      <c r="AI107" s="1709"/>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1"/>
        <v>0</v>
      </c>
      <c r="K108" s="1674"/>
      <c r="L108" s="1675"/>
      <c r="M108" s="1676"/>
      <c r="N108" s="1189" cm="1">
        <f t="array" ref="N108">IF($E$20="Credera US",V108,SUMPRODUCT(('Rates &amp; Drop Downs INT'!$CG$6:$CG$747=$D108)*('Rates &amp; Drop Downs INT'!$CI$6:$CI$747=$F108)*('Rates &amp; Drop Downs INT'!$CK$6:$CK$747=$K108)*('Rates &amp; Drop Downs INT'!$CM$6:$CM$747)))</f>
        <v>0</v>
      </c>
      <c r="O108" s="1681"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2055"/>
      <c r="Q108" s="2055"/>
      <c r="R108" s="2055"/>
      <c r="S108" s="2056"/>
      <c r="T108" s="1679"/>
      <c r="U108" s="1679"/>
      <c r="V108" s="1203" t="str">
        <f>IFERROR(IF(ISBLANK(K108)," ",_xlfn.XLOOKUP(K108,'Rates &amp; Drop Downs INT'!C:C,'Rates &amp; Drop Downs INT'!J:J)),N108)</f>
        <v xml:space="preserve"> </v>
      </c>
      <c r="W108" s="1203" t="str">
        <f t="shared" si="0"/>
        <v xml:space="preserve"> </v>
      </c>
      <c r="X108" s="1203"/>
      <c r="Y108" s="880" t="s">
        <v>2271</v>
      </c>
      <c r="Z108" s="1187"/>
      <c r="AA108" s="1190"/>
      <c r="AB108" s="1274" t="str">
        <f t="shared" si="2"/>
        <v/>
      </c>
      <c r="AC108" s="1653"/>
      <c r="AD108" s="1654"/>
      <c r="AE108" s="881"/>
      <c r="AF108" s="892"/>
      <c r="AH108" s="1709"/>
      <c r="AI108" s="1709"/>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1"/>
        <v>0</v>
      </c>
      <c r="K109" s="1674"/>
      <c r="L109" s="1675"/>
      <c r="M109" s="1676"/>
      <c r="N109" s="1189" cm="1">
        <f t="array" ref="N109">IF($E$20="Credera US",V109,SUMPRODUCT(('Rates &amp; Drop Downs INT'!$CG$6:$CG$747=$D109)*('Rates &amp; Drop Downs INT'!$CI$6:$CI$747=$F109)*('Rates &amp; Drop Downs INT'!$CK$6:$CK$747=$K109)*('Rates &amp; Drop Downs INT'!$CM$6:$CM$747)))</f>
        <v>0</v>
      </c>
      <c r="O109" s="1681"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2055"/>
      <c r="Q109" s="2055"/>
      <c r="R109" s="2055"/>
      <c r="S109" s="2056"/>
      <c r="T109" s="1679"/>
      <c r="U109" s="1679"/>
      <c r="V109" s="1203" t="str">
        <f>IFERROR(IF(ISBLANK(K109)," ",_xlfn.XLOOKUP(K109,'Rates &amp; Drop Downs INT'!C:C,'Rates &amp; Drop Downs INT'!J:J)),N109)</f>
        <v xml:space="preserve"> </v>
      </c>
      <c r="W109" s="1203" t="str">
        <f t="shared" si="0"/>
        <v xml:space="preserve"> </v>
      </c>
      <c r="X109" s="1203"/>
      <c r="Y109" s="880" t="s">
        <v>2271</v>
      </c>
      <c r="Z109" s="1187"/>
      <c r="AA109" s="1190"/>
      <c r="AB109" s="1274" t="str">
        <f t="shared" si="2"/>
        <v/>
      </c>
      <c r="AC109" s="1653"/>
      <c r="AD109" s="1654"/>
      <c r="AE109" s="881"/>
      <c r="AF109" s="892"/>
      <c r="AH109" s="1709"/>
      <c r="AI109" s="1709"/>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1"/>
        <v>0</v>
      </c>
      <c r="K110" s="1674"/>
      <c r="L110" s="1675"/>
      <c r="M110" s="1676"/>
      <c r="N110" s="1189" cm="1">
        <f t="array" ref="N110">IF($E$20="Credera US",V110,SUMPRODUCT(('Rates &amp; Drop Downs INT'!$CG$6:$CG$747=$D110)*('Rates &amp; Drop Downs INT'!$CI$6:$CI$747=$F110)*('Rates &amp; Drop Downs INT'!$CK$6:$CK$747=$K110)*('Rates &amp; Drop Downs INT'!$CM$6:$CM$747)))</f>
        <v>0</v>
      </c>
      <c r="O110" s="1681"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2055"/>
      <c r="Q110" s="2055"/>
      <c r="R110" s="2055"/>
      <c r="S110" s="2056"/>
      <c r="T110" s="1679"/>
      <c r="U110" s="1679"/>
      <c r="V110" s="1203" t="str">
        <f>IFERROR(IF(ISBLANK(K110)," ",_xlfn.XLOOKUP(K110,'Rates &amp; Drop Downs INT'!C:C,'Rates &amp; Drop Downs INT'!J:J)),N110)</f>
        <v xml:space="preserve"> </v>
      </c>
      <c r="W110" s="1203" t="str">
        <f t="shared" si="0"/>
        <v xml:space="preserve"> </v>
      </c>
      <c r="X110" s="1203"/>
      <c r="Y110" s="880" t="s">
        <v>2271</v>
      </c>
      <c r="Z110" s="1187"/>
      <c r="AA110" s="1190"/>
      <c r="AB110" s="1274" t="str">
        <f t="shared" si="2"/>
        <v/>
      </c>
      <c r="AC110" s="1653"/>
      <c r="AD110" s="1654"/>
      <c r="AE110" s="881"/>
      <c r="AF110" s="892"/>
      <c r="AH110" s="1709"/>
      <c r="AI110" s="1709"/>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1"/>
        <v>0</v>
      </c>
      <c r="K111" s="1674"/>
      <c r="L111" s="1675"/>
      <c r="M111" s="1676"/>
      <c r="N111" s="1189" cm="1">
        <f t="array" ref="N111">IF($E$20="Credera US",V111,SUMPRODUCT(('Rates &amp; Drop Downs INT'!$CG$6:$CG$747=$D111)*('Rates &amp; Drop Downs INT'!$CI$6:$CI$747=$F111)*('Rates &amp; Drop Downs INT'!$CK$6:$CK$747=$K111)*('Rates &amp; Drop Downs INT'!$CM$6:$CM$747)))</f>
        <v>0</v>
      </c>
      <c r="O111" s="1681"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2055"/>
      <c r="Q111" s="2055"/>
      <c r="R111" s="2055"/>
      <c r="S111" s="2056"/>
      <c r="T111" s="1679"/>
      <c r="U111" s="1679"/>
      <c r="V111" s="1203" t="str">
        <f>IFERROR(IF(ISBLANK(K111)," ",_xlfn.XLOOKUP(K111,'Rates &amp; Drop Downs INT'!C:C,'Rates &amp; Drop Downs INT'!J:J)),N111)</f>
        <v xml:space="preserve"> </v>
      </c>
      <c r="W111" s="1203" t="str">
        <f t="shared" si="0"/>
        <v xml:space="preserve"> </v>
      </c>
      <c r="X111" s="1203"/>
      <c r="Y111" s="880" t="s">
        <v>2271</v>
      </c>
      <c r="Z111" s="1187"/>
      <c r="AA111" s="1190"/>
      <c r="AB111" s="1274" t="str">
        <f t="shared" si="2"/>
        <v/>
      </c>
      <c r="AC111" s="1653"/>
      <c r="AD111" s="1654"/>
      <c r="AE111" s="881"/>
      <c r="AF111" s="892"/>
      <c r="AH111" s="1709"/>
      <c r="AI111" s="1709"/>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1"/>
        <v>0</v>
      </c>
      <c r="K112" s="1674"/>
      <c r="L112" s="1675"/>
      <c r="M112" s="1676"/>
      <c r="N112" s="1189" cm="1">
        <f t="array" ref="N112">IF($E$20="Credera US",V112,SUMPRODUCT(('Rates &amp; Drop Downs INT'!$CG$6:$CG$747=$D112)*('Rates &amp; Drop Downs INT'!$CI$6:$CI$747=$F112)*('Rates &amp; Drop Downs INT'!$CK$6:$CK$747=$K112)*('Rates &amp; Drop Downs INT'!$CM$6:$CM$747)))</f>
        <v>0</v>
      </c>
      <c r="O112" s="1681"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2055"/>
      <c r="Q112" s="2055"/>
      <c r="R112" s="2055"/>
      <c r="S112" s="2056"/>
      <c r="T112" s="1679"/>
      <c r="U112" s="1679"/>
      <c r="V112" s="1203" t="str">
        <f>IFERROR(IF(ISBLANK(K112)," ",_xlfn.XLOOKUP(K112,'Rates &amp; Drop Downs INT'!C:C,'Rates &amp; Drop Downs INT'!J:J)),N112)</f>
        <v xml:space="preserve"> </v>
      </c>
      <c r="W112" s="1203" t="str">
        <f t="shared" si="0"/>
        <v xml:space="preserve"> </v>
      </c>
      <c r="X112" s="1203"/>
      <c r="Y112" s="880" t="s">
        <v>2271</v>
      </c>
      <c r="Z112" s="1187"/>
      <c r="AA112" s="1190"/>
      <c r="AB112" s="1274" t="str">
        <f t="shared" si="2"/>
        <v/>
      </c>
      <c r="AC112" s="1653"/>
      <c r="AD112" s="1654"/>
      <c r="AE112" s="881"/>
      <c r="AF112" s="892"/>
      <c r="AH112" s="1709"/>
      <c r="AI112" s="1709"/>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ref="J113:J148" si="3">C113</f>
        <v>0</v>
      </c>
      <c r="K113" s="1674"/>
      <c r="L113" s="1675"/>
      <c r="M113" s="1676"/>
      <c r="N113" s="1189" cm="1">
        <f t="array" ref="N113">IF($E$20="Credera US",V113,SUMPRODUCT(('Rates &amp; Drop Downs INT'!$CG$6:$CG$747=$D113)*('Rates &amp; Drop Downs INT'!$CI$6:$CI$747=$F113)*('Rates &amp; Drop Downs INT'!$CK$6:$CK$747=$K113)*('Rates &amp; Drop Downs INT'!$CM$6:$CM$747)))</f>
        <v>0</v>
      </c>
      <c r="O113" s="1681"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2055"/>
      <c r="Q113" s="2055"/>
      <c r="R113" s="2055"/>
      <c r="S113" s="2056"/>
      <c r="T113" s="1679"/>
      <c r="U113" s="1679"/>
      <c r="V113" s="1203" t="str">
        <f>IFERROR(IF(ISBLANK(K113)," ",_xlfn.XLOOKUP(K113,'Rates &amp; Drop Downs INT'!C:C,'Rates &amp; Drop Downs INT'!J:J)),N113)</f>
        <v xml:space="preserve"> </v>
      </c>
      <c r="W113" s="1203" t="str">
        <f t="shared" ref="W113:W147" si="4">IF(ISBLANK($K113)," ",IF(OR($C113="Credera US",$C113="TADNorthAmerica"),"Onshore","Offshore"))</f>
        <v xml:space="preserve"> </v>
      </c>
      <c r="X113" s="1203"/>
      <c r="Y113" s="880" t="s">
        <v>2271</v>
      </c>
      <c r="Z113" s="1187"/>
      <c r="AA113" s="1190"/>
      <c r="AB113" s="1274" t="str">
        <f t="shared" si="2"/>
        <v/>
      </c>
      <c r="AC113" s="1653"/>
      <c r="AD113" s="1654"/>
      <c r="AE113" s="881"/>
      <c r="AF113" s="892"/>
      <c r="AH113" s="1709"/>
      <c r="AI113" s="1709"/>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74"/>
      <c r="L114" s="1675"/>
      <c r="M114" s="1676"/>
      <c r="N114" s="1189" cm="1">
        <f t="array" ref="N114">IF($E$20="Credera US",V114,SUMPRODUCT(('Rates &amp; Drop Downs INT'!$CG$6:$CG$747=$D114)*('Rates &amp; Drop Downs INT'!$CI$6:$CI$747=$F114)*('Rates &amp; Drop Downs INT'!$CK$6:$CK$747=$K114)*('Rates &amp; Drop Downs INT'!$CM$6:$CM$747)))</f>
        <v>0</v>
      </c>
      <c r="O114" s="1681"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2055"/>
      <c r="Q114" s="2055"/>
      <c r="R114" s="2055"/>
      <c r="S114" s="2056"/>
      <c r="T114" s="1679"/>
      <c r="U114" s="1679"/>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53"/>
      <c r="AD114" s="1654"/>
      <c r="AE114" s="881"/>
      <c r="AF114" s="892"/>
      <c r="AH114" s="1709"/>
      <c r="AI114" s="1709"/>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74"/>
      <c r="L115" s="1675"/>
      <c r="M115" s="1676"/>
      <c r="N115" s="1189" cm="1">
        <f t="array" ref="N115">IF($E$20="Credera US",V115,SUMPRODUCT(('Rates &amp; Drop Downs INT'!$CG$6:$CG$747=$D115)*('Rates &amp; Drop Downs INT'!$CI$6:$CI$747=$F115)*('Rates &amp; Drop Downs INT'!$CK$6:$CK$747=$K115)*('Rates &amp; Drop Downs INT'!$CM$6:$CM$747)))</f>
        <v>0</v>
      </c>
      <c r="O115" s="1681"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2055"/>
      <c r="Q115" s="2055"/>
      <c r="R115" s="2055"/>
      <c r="S115" s="2056"/>
      <c r="T115" s="1679"/>
      <c r="U115" s="1679"/>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53"/>
      <c r="AD115" s="1654"/>
      <c r="AE115" s="881"/>
      <c r="AF115" s="892"/>
      <c r="AH115" s="1709"/>
      <c r="AI115" s="1709"/>
      <c r="AJ115" s="413"/>
      <c r="AK115" s="413"/>
      <c r="AL115" s="413"/>
      <c r="AM115" s="413"/>
      <c r="CM115" s="425"/>
    </row>
    <row r="116" spans="3:91" outlineLevel="2"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74"/>
      <c r="L116" s="1675"/>
      <c r="M116" s="1676"/>
      <c r="N116" s="1189" cm="1">
        <f t="array" ref="N116">IF($E$20="Credera US",V116,SUMPRODUCT(('Rates &amp; Drop Downs INT'!$CG$6:$CG$747=$D116)*('Rates &amp; Drop Downs INT'!$CI$6:$CI$747=$F116)*('Rates &amp; Drop Downs INT'!$CK$6:$CK$747=$K116)*('Rates &amp; Drop Downs INT'!$CM$6:$CM$747)))</f>
        <v>0</v>
      </c>
      <c r="O116" s="1681"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2055"/>
      <c r="Q116" s="2055"/>
      <c r="R116" s="2055"/>
      <c r="S116" s="2056"/>
      <c r="T116" s="1679"/>
      <c r="U116" s="1679"/>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53"/>
      <c r="AD116" s="1654"/>
      <c r="AE116" s="881"/>
      <c r="AF116" s="892"/>
      <c r="AH116" s="1709"/>
      <c r="AI116" s="1709"/>
      <c r="AJ116" s="413"/>
      <c r="AK116" s="413"/>
      <c r="AL116" s="413"/>
      <c r="AM116" s="413"/>
      <c r="CM116" s="425"/>
    </row>
    <row r="117" spans="3:91" outlineLevel="2"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74"/>
      <c r="L117" s="1675"/>
      <c r="M117" s="1676"/>
      <c r="N117" s="1189" cm="1">
        <f t="array" ref="N117">IF($E$20="Credera US",V117,SUMPRODUCT(('Rates &amp; Drop Downs INT'!$CG$6:$CG$747=$D117)*('Rates &amp; Drop Downs INT'!$CI$6:$CI$747=$F117)*('Rates &amp; Drop Downs INT'!$CK$6:$CK$747=$K117)*('Rates &amp; Drop Downs INT'!$CM$6:$CM$747)))</f>
        <v>0</v>
      </c>
      <c r="O117" s="1681"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2055"/>
      <c r="Q117" s="2055"/>
      <c r="R117" s="2055"/>
      <c r="S117" s="2056"/>
      <c r="T117" s="1679"/>
      <c r="U117" s="1679"/>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53"/>
      <c r="AD117" s="1654"/>
      <c r="AE117" s="881"/>
      <c r="AF117" s="892"/>
      <c r="AH117" s="1709"/>
      <c r="AI117" s="1709"/>
      <c r="AJ117" s="413"/>
      <c r="AK117" s="413"/>
      <c r="AL117" s="413"/>
      <c r="AM117" s="413"/>
      <c r="CM117" s="425"/>
    </row>
    <row r="118" spans="3:91" outlineLevel="2"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74"/>
      <c r="L118" s="1675"/>
      <c r="M118" s="1676"/>
      <c r="N118" s="1189" cm="1">
        <f t="array" ref="N118">IF($E$20="Credera US",V118,SUMPRODUCT(('Rates &amp; Drop Downs INT'!$CG$6:$CG$747=$D118)*('Rates &amp; Drop Downs INT'!$CI$6:$CI$747=$F118)*('Rates &amp; Drop Downs INT'!$CK$6:$CK$747=$K118)*('Rates &amp; Drop Downs INT'!$CM$6:$CM$747)))</f>
        <v>0</v>
      </c>
      <c r="O118" s="1681"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2055"/>
      <c r="Q118" s="2055"/>
      <c r="R118" s="2055"/>
      <c r="S118" s="2056"/>
      <c r="T118" s="1679"/>
      <c r="U118" s="1679"/>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53"/>
      <c r="AD118" s="1654"/>
      <c r="AE118" s="881"/>
      <c r="AF118" s="892"/>
      <c r="AH118" s="1709"/>
      <c r="AI118" s="1709"/>
      <c r="AJ118" s="413"/>
      <c r="AK118" s="413"/>
      <c r="AL118" s="413"/>
      <c r="AM118" s="413"/>
      <c r="CM118" s="425"/>
    </row>
    <row r="119" spans="3:91" outlineLevel="2"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74"/>
      <c r="L119" s="1675"/>
      <c r="M119" s="1676"/>
      <c r="N119" s="1189" cm="1">
        <f t="array" ref="N119">IF($E$20="Credera US",V119,SUMPRODUCT(('Rates &amp; Drop Downs INT'!$CG$6:$CG$747=$D119)*('Rates &amp; Drop Downs INT'!$CI$6:$CI$747=$F119)*('Rates &amp; Drop Downs INT'!$CK$6:$CK$747=$K119)*('Rates &amp; Drop Downs INT'!$CM$6:$CM$747)))</f>
        <v>0</v>
      </c>
      <c r="O119" s="1681"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2055"/>
      <c r="Q119" s="2055"/>
      <c r="R119" s="2055"/>
      <c r="S119" s="2056"/>
      <c r="T119" s="1679"/>
      <c r="U119" s="1679"/>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53"/>
      <c r="AD119" s="1654"/>
      <c r="AE119" s="881"/>
      <c r="AF119" s="892"/>
      <c r="AH119" s="1709"/>
      <c r="AI119" s="1709"/>
      <c r="AJ119" s="413"/>
      <c r="AK119" s="413"/>
      <c r="AL119" s="413"/>
      <c r="AM119" s="413"/>
      <c r="CM119" s="425"/>
    </row>
    <row r="120" spans="3:91" outlineLevel="2"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74"/>
      <c r="L120" s="1675"/>
      <c r="M120" s="1676"/>
      <c r="N120" s="1189" cm="1">
        <f t="array" ref="N120">IF($E$20="Credera US",V120,SUMPRODUCT(('Rates &amp; Drop Downs INT'!$CG$6:$CG$747=$D120)*('Rates &amp; Drop Downs INT'!$CI$6:$CI$747=$F120)*('Rates &amp; Drop Downs INT'!$CK$6:$CK$747=$K120)*('Rates &amp; Drop Downs INT'!$CM$6:$CM$747)))</f>
        <v>0</v>
      </c>
      <c r="O120" s="1681"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2055"/>
      <c r="Q120" s="2055"/>
      <c r="R120" s="2055"/>
      <c r="S120" s="2056"/>
      <c r="T120" s="1679"/>
      <c r="U120" s="1679"/>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53"/>
      <c r="AD120" s="1654"/>
      <c r="AE120" s="881"/>
      <c r="AF120" s="892"/>
      <c r="AH120" s="1709"/>
      <c r="AI120" s="1709"/>
      <c r="AJ120" s="413"/>
      <c r="AK120" s="413"/>
      <c r="AL120" s="413"/>
      <c r="AM120" s="413"/>
      <c r="CM120" s="425"/>
    </row>
    <row r="121" spans="3:91" outlineLevel="2"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74"/>
      <c r="L121" s="1675"/>
      <c r="M121" s="1676"/>
      <c r="N121" s="1189" cm="1">
        <f t="array" ref="N121">IF($E$20="Credera US",V121,SUMPRODUCT(('Rates &amp; Drop Downs INT'!$CG$6:$CG$747=$D121)*('Rates &amp; Drop Downs INT'!$CI$6:$CI$747=$F121)*('Rates &amp; Drop Downs INT'!$CK$6:$CK$747=$K121)*('Rates &amp; Drop Downs INT'!$CM$6:$CM$747)))</f>
        <v>0</v>
      </c>
      <c r="O121" s="1681"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2055"/>
      <c r="Q121" s="2055"/>
      <c r="R121" s="2055"/>
      <c r="S121" s="2056"/>
      <c r="T121" s="1679"/>
      <c r="U121" s="1679"/>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53"/>
      <c r="AD121" s="1654"/>
      <c r="AE121" s="881"/>
      <c r="AF121" s="892"/>
      <c r="AH121" s="1709"/>
      <c r="AI121" s="1709"/>
      <c r="AJ121" s="413"/>
      <c r="AK121" s="413"/>
      <c r="AL121" s="413"/>
      <c r="AM121" s="413"/>
      <c r="CM121" s="425"/>
    </row>
    <row r="122" spans="3:91" outlineLevel="2"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74"/>
      <c r="L122" s="1675"/>
      <c r="M122" s="1676"/>
      <c r="N122" s="1189" cm="1">
        <f t="array" ref="N122">IF($E$20="Credera US",V122,SUMPRODUCT(('Rates &amp; Drop Downs INT'!$CG$6:$CG$747=$D122)*('Rates &amp; Drop Downs INT'!$CI$6:$CI$747=$F122)*('Rates &amp; Drop Downs INT'!$CK$6:$CK$747=$K122)*('Rates &amp; Drop Downs INT'!$CM$6:$CM$747)))</f>
        <v>0</v>
      </c>
      <c r="O122" s="1681"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2055"/>
      <c r="Q122" s="2055"/>
      <c r="R122" s="2055"/>
      <c r="S122" s="2056"/>
      <c r="T122" s="1679"/>
      <c r="U122" s="1679"/>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53"/>
      <c r="AD122" s="1654"/>
      <c r="AE122" s="881"/>
      <c r="AF122" s="892"/>
      <c r="AH122" s="1709"/>
      <c r="AI122" s="1709"/>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74"/>
      <c r="L123" s="1675"/>
      <c r="M123" s="1676"/>
      <c r="N123" s="1189" cm="1">
        <f t="array" ref="N123">IF($E$20="Credera US",V123,SUMPRODUCT(('Rates &amp; Drop Downs INT'!$CG$6:$CG$747=$D123)*('Rates &amp; Drop Downs INT'!$CI$6:$CI$747=$F123)*('Rates &amp; Drop Downs INT'!$CK$6:$CK$747=$K123)*('Rates &amp; Drop Downs INT'!$CM$6:$CM$747)))</f>
        <v>0</v>
      </c>
      <c r="O123" s="1681"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2055"/>
      <c r="Q123" s="2055"/>
      <c r="R123" s="2055"/>
      <c r="S123" s="2056"/>
      <c r="T123" s="1679"/>
      <c r="U123" s="1679"/>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53"/>
      <c r="AD123" s="1654"/>
      <c r="AE123" s="881"/>
      <c r="AF123" s="892"/>
      <c r="AH123" s="1709"/>
      <c r="AI123" s="1709"/>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74"/>
      <c r="L124" s="1675"/>
      <c r="M124" s="1676"/>
      <c r="N124" s="1189" cm="1">
        <f t="array" ref="N124">IF($E$20="Credera US",V124,SUMPRODUCT(('Rates &amp; Drop Downs INT'!$CG$6:$CG$747=$D124)*('Rates &amp; Drop Downs INT'!$CI$6:$CI$747=$F124)*('Rates &amp; Drop Downs INT'!$CK$6:$CK$747=$K124)*('Rates &amp; Drop Downs INT'!$CM$6:$CM$747)))</f>
        <v>0</v>
      </c>
      <c r="O124" s="1681"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2055"/>
      <c r="Q124" s="2055"/>
      <c r="R124" s="2055"/>
      <c r="S124" s="2056"/>
      <c r="T124" s="1679"/>
      <c r="U124" s="1679"/>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si="2"/>
        <v/>
      </c>
      <c r="AC124" s="1653"/>
      <c r="AD124" s="1654"/>
      <c r="AE124" s="881"/>
      <c r="AF124" s="892"/>
      <c r="AH124" s="1709"/>
      <c r="AI124" s="1709"/>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74"/>
      <c r="L125" s="1675"/>
      <c r="M125" s="1676"/>
      <c r="N125" s="1189" cm="1">
        <f t="array" ref="N125">IF($E$20="Credera US",V125,SUMPRODUCT(('Rates &amp; Drop Downs INT'!$CG$6:$CG$747=$D125)*('Rates &amp; Drop Downs INT'!$CI$6:$CI$747=$F125)*('Rates &amp; Drop Downs INT'!$CK$6:$CK$747=$K125)*('Rates &amp; Drop Downs INT'!$CM$6:$CM$747)))</f>
        <v>0</v>
      </c>
      <c r="O125" s="1681"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2055"/>
      <c r="Q125" s="2055"/>
      <c r="R125" s="2055"/>
      <c r="S125" s="2056"/>
      <c r="T125" s="1679"/>
      <c r="U125" s="1679"/>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2"/>
        <v/>
      </c>
      <c r="AC125" s="1653"/>
      <c r="AD125" s="1654"/>
      <c r="AE125" s="881"/>
      <c r="AF125" s="892"/>
      <c r="AH125" s="1709"/>
      <c r="AI125" s="1709"/>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74"/>
      <c r="L126" s="1675"/>
      <c r="M126" s="1676"/>
      <c r="N126" s="1189" cm="1">
        <f t="array" ref="N126">IF($E$20="Credera US",V126,SUMPRODUCT(('Rates &amp; Drop Downs INT'!$CG$6:$CG$747=$D126)*('Rates &amp; Drop Downs INT'!$CI$6:$CI$747=$F126)*('Rates &amp; Drop Downs INT'!$CK$6:$CK$747=$K126)*('Rates &amp; Drop Downs INT'!$CM$6:$CM$747)))</f>
        <v>0</v>
      </c>
      <c r="O126" s="1681"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2055"/>
      <c r="Q126" s="2055"/>
      <c r="R126" s="2055"/>
      <c r="S126" s="2056"/>
      <c r="T126" s="1679"/>
      <c r="U126" s="1679"/>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2"/>
        <v/>
      </c>
      <c r="AC126" s="1653"/>
      <c r="AD126" s="1654"/>
      <c r="AE126" s="881"/>
      <c r="AF126" s="892"/>
      <c r="AH126" s="1709"/>
      <c r="AI126" s="1709"/>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74"/>
      <c r="L127" s="1675"/>
      <c r="M127" s="1676"/>
      <c r="N127" s="1189" cm="1">
        <f t="array" ref="N127">IF($E$20="Credera US",V127,SUMPRODUCT(('Rates &amp; Drop Downs INT'!$CG$6:$CG$747=$D127)*('Rates &amp; Drop Downs INT'!$CI$6:$CI$747=$F127)*('Rates &amp; Drop Downs INT'!$CK$6:$CK$747=$K127)*('Rates &amp; Drop Downs INT'!$CM$6:$CM$747)))</f>
        <v>0</v>
      </c>
      <c r="O127" s="1681"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2055"/>
      <c r="Q127" s="2055"/>
      <c r="R127" s="2055"/>
      <c r="S127" s="2056"/>
      <c r="T127" s="1679"/>
      <c r="U127" s="1679"/>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2"/>
        <v/>
      </c>
      <c r="AC127" s="1653"/>
      <c r="AD127" s="1654"/>
      <c r="AE127" s="881"/>
      <c r="AF127" s="892"/>
      <c r="AH127" s="1709"/>
      <c r="AI127" s="1709"/>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74"/>
      <c r="L128" s="1675"/>
      <c r="M128" s="1676"/>
      <c r="N128" s="1189" cm="1">
        <f t="array" ref="N128">IF($E$20="Credera US",V128,SUMPRODUCT(('Rates &amp; Drop Downs INT'!$CG$6:$CG$747=$D128)*('Rates &amp; Drop Downs INT'!$CI$6:$CI$747=$F128)*('Rates &amp; Drop Downs INT'!$CK$6:$CK$747=$K128)*('Rates &amp; Drop Downs INT'!$CM$6:$CM$747)))</f>
        <v>0</v>
      </c>
      <c r="O128" s="1681"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2055"/>
      <c r="Q128" s="2055"/>
      <c r="R128" s="2055"/>
      <c r="S128" s="2056"/>
      <c r="T128" s="1679"/>
      <c r="U128" s="1679"/>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2"/>
        <v/>
      </c>
      <c r="AC128" s="1653"/>
      <c r="AD128" s="1654"/>
      <c r="AE128" s="881"/>
      <c r="AF128" s="892"/>
      <c r="AH128" s="1709"/>
      <c r="AI128" s="1709"/>
      <c r="AJ128" s="413"/>
      <c r="AK128" s="413"/>
      <c r="AL128" s="413"/>
      <c r="AM128" s="413"/>
      <c r="CM128" s="425"/>
    </row>
    <row r="129" spans="3:91"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74"/>
      <c r="L129" s="1675"/>
      <c r="M129" s="1676"/>
      <c r="N129" s="1189" cm="1">
        <f t="array" ref="N129">IF($E$20="Credera US",V129,SUMPRODUCT(('Rates &amp; Drop Downs INT'!$CG$6:$CG$747=$D129)*('Rates &amp; Drop Downs INT'!$CI$6:$CI$747=$F129)*('Rates &amp; Drop Downs INT'!$CK$6:$CK$747=$K129)*('Rates &amp; Drop Downs INT'!$CM$6:$CM$747)))</f>
        <v>0</v>
      </c>
      <c r="O129" s="1681"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2055"/>
      <c r="Q129" s="2055"/>
      <c r="R129" s="2055"/>
      <c r="S129" s="2056"/>
      <c r="T129" s="1679"/>
      <c r="U129" s="1679"/>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2"/>
        <v/>
      </c>
      <c r="AC129" s="1653"/>
      <c r="AD129" s="1654"/>
      <c r="AE129" s="881"/>
      <c r="AF129" s="892"/>
      <c r="AH129" s="1709"/>
      <c r="AI129" s="1709"/>
      <c r="AJ129" s="413"/>
      <c r="AK129" s="413"/>
      <c r="AL129" s="413"/>
      <c r="AM129" s="413"/>
      <c r="CM129" s="425"/>
    </row>
    <row r="130" spans="3:91"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74"/>
      <c r="L130" s="1675"/>
      <c r="M130" s="1676"/>
      <c r="N130" s="1189" cm="1">
        <f t="array" ref="N130">IF($E$20="Credera US",V130,SUMPRODUCT(('Rates &amp; Drop Downs INT'!$CG$6:$CG$747=$D130)*('Rates &amp; Drop Downs INT'!$CI$6:$CI$747=$F130)*('Rates &amp; Drop Downs INT'!$CK$6:$CK$747=$K130)*('Rates &amp; Drop Downs INT'!$CM$6:$CM$747)))</f>
        <v>0</v>
      </c>
      <c r="O130" s="1681"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2055"/>
      <c r="Q130" s="2055"/>
      <c r="R130" s="2055"/>
      <c r="S130" s="2056"/>
      <c r="T130" s="1679"/>
      <c r="U130" s="1679"/>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2"/>
        <v/>
      </c>
      <c r="AC130" s="1653"/>
      <c r="AD130" s="1654"/>
      <c r="AE130" s="881"/>
      <c r="AF130" s="892"/>
      <c r="AH130" s="1709"/>
      <c r="AI130" s="1709"/>
      <c r="AJ130" s="413"/>
      <c r="AK130" s="413"/>
      <c r="AL130" s="413"/>
      <c r="AM130" s="413"/>
      <c r="CM130" s="425"/>
    </row>
    <row r="131" spans="3:91"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74"/>
      <c r="L131" s="1675"/>
      <c r="M131" s="1676"/>
      <c r="N131" s="1189" cm="1">
        <f t="array" ref="N131">IF($E$20="Credera US",V131,SUMPRODUCT(('Rates &amp; Drop Downs INT'!$CG$6:$CG$747=$D131)*('Rates &amp; Drop Downs INT'!$CI$6:$CI$747=$F131)*('Rates &amp; Drop Downs INT'!$CK$6:$CK$747=$K131)*('Rates &amp; Drop Downs INT'!$CM$6:$CM$747)))</f>
        <v>0</v>
      </c>
      <c r="O131" s="1681"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2055"/>
      <c r="Q131" s="2055"/>
      <c r="R131" s="2055"/>
      <c r="S131" s="2056"/>
      <c r="T131" s="1679"/>
      <c r="U131" s="1679"/>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ref="AB131:AB147" si="5">IF(COUNTIF($D253:$BC253,"&gt;0")=0,"",COUNTIF($D253:$BC253,"&gt;0"))</f>
        <v/>
      </c>
      <c r="AC131" s="1653"/>
      <c r="AD131" s="1654"/>
      <c r="AE131" s="881"/>
      <c r="AF131" s="892"/>
      <c r="AH131" s="1709"/>
      <c r="AI131" s="1709"/>
      <c r="AJ131" s="413"/>
      <c r="AK131" s="413"/>
      <c r="AL131" s="413"/>
      <c r="AM131" s="413"/>
      <c r="CM131" s="425"/>
    </row>
    <row r="132" spans="3:91"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74"/>
      <c r="L132" s="1675"/>
      <c r="M132" s="1676"/>
      <c r="N132" s="1189" cm="1">
        <f t="array" ref="N132">IF($E$20="Credera US",V132,SUMPRODUCT(('Rates &amp; Drop Downs INT'!$CG$6:$CG$747=$D132)*('Rates &amp; Drop Downs INT'!$CI$6:$CI$747=$F132)*('Rates &amp; Drop Downs INT'!$CK$6:$CK$747=$K132)*('Rates &amp; Drop Downs INT'!$CM$6:$CM$747)))</f>
        <v>0</v>
      </c>
      <c r="O132" s="1681"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2055"/>
      <c r="Q132" s="2055"/>
      <c r="R132" s="2055"/>
      <c r="S132" s="2056"/>
      <c r="T132" s="1679"/>
      <c r="U132" s="1679"/>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53"/>
      <c r="AD132" s="1654"/>
      <c r="AE132" s="881"/>
      <c r="AF132" s="892"/>
      <c r="AH132" s="1709"/>
      <c r="AI132" s="1709"/>
      <c r="AJ132" s="413"/>
      <c r="AK132" s="413"/>
      <c r="AL132" s="413"/>
      <c r="AM132" s="413"/>
      <c r="CM132" s="425"/>
    </row>
    <row r="133" spans="3:91"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74"/>
      <c r="L133" s="1675"/>
      <c r="M133" s="1676"/>
      <c r="N133" s="1189" cm="1">
        <f t="array" ref="N133">IF($E$20="Credera US",V133,SUMPRODUCT(('Rates &amp; Drop Downs INT'!$CG$6:$CG$747=$D133)*('Rates &amp; Drop Downs INT'!$CI$6:$CI$747=$F133)*('Rates &amp; Drop Downs INT'!$CK$6:$CK$747=$K133)*('Rates &amp; Drop Downs INT'!$CM$6:$CM$747)))</f>
        <v>0</v>
      </c>
      <c r="O133" s="1681"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2055"/>
      <c r="Q133" s="2055"/>
      <c r="R133" s="2055"/>
      <c r="S133" s="2056"/>
      <c r="T133" s="1679"/>
      <c r="U133" s="1679"/>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53"/>
      <c r="AD133" s="1654"/>
      <c r="AE133" s="881"/>
      <c r="AF133" s="892"/>
      <c r="AH133" s="1709"/>
      <c r="AI133" s="1709"/>
      <c r="AJ133" s="413"/>
      <c r="AK133" s="413"/>
      <c r="AL133" s="413"/>
      <c r="AM133" s="413"/>
      <c r="CM133" s="425"/>
    </row>
    <row r="134" spans="3:91"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74"/>
      <c r="L134" s="1675"/>
      <c r="M134" s="1676"/>
      <c r="N134" s="1189" cm="1">
        <f t="array" ref="N134">IF($E$20="Credera US",V134,SUMPRODUCT(('Rates &amp; Drop Downs INT'!$CG$6:$CG$747=$D134)*('Rates &amp; Drop Downs INT'!$CI$6:$CI$747=$F134)*('Rates &amp; Drop Downs INT'!$CK$6:$CK$747=$K134)*('Rates &amp; Drop Downs INT'!$CM$6:$CM$747)))</f>
        <v>0</v>
      </c>
      <c r="O134" s="1681"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2055"/>
      <c r="Q134" s="2055"/>
      <c r="R134" s="2055"/>
      <c r="S134" s="2056"/>
      <c r="T134" s="1679"/>
      <c r="U134" s="1679"/>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53"/>
      <c r="AD134" s="1654"/>
      <c r="AE134" s="881"/>
      <c r="AF134" s="892"/>
      <c r="AH134" s="1709"/>
      <c r="AI134" s="1709"/>
      <c r="AJ134" s="413"/>
      <c r="AK134" s="413"/>
      <c r="AL134" s="413"/>
      <c r="AM134" s="413"/>
      <c r="CM134" s="425"/>
    </row>
    <row r="135" spans="3:91"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74"/>
      <c r="L135" s="1675"/>
      <c r="M135" s="1676"/>
      <c r="N135" s="1189" cm="1">
        <f t="array" ref="N135">IF($E$20="Credera US",V135,SUMPRODUCT(('Rates &amp; Drop Downs INT'!$CG$6:$CG$747=$D135)*('Rates &amp; Drop Downs INT'!$CI$6:$CI$747=$F135)*('Rates &amp; Drop Downs INT'!$CK$6:$CK$747=$K135)*('Rates &amp; Drop Downs INT'!$CM$6:$CM$747)))</f>
        <v>0</v>
      </c>
      <c r="O135" s="1681"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2055"/>
      <c r="Q135" s="2055"/>
      <c r="R135" s="2055"/>
      <c r="S135" s="2056"/>
      <c r="T135" s="1679"/>
      <c r="U135" s="1679"/>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53"/>
      <c r="AD135" s="1654"/>
      <c r="AE135" s="881"/>
      <c r="AF135" s="892"/>
      <c r="AH135" s="1709"/>
      <c r="AI135" s="1709"/>
      <c r="AJ135" s="413"/>
      <c r="AK135" s="413"/>
      <c r="AL135" s="413"/>
      <c r="AM135" s="413"/>
      <c r="CM135" s="425"/>
    </row>
    <row r="136" spans="3:91"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74"/>
      <c r="L136" s="1675"/>
      <c r="M136" s="1676"/>
      <c r="N136" s="1189" cm="1">
        <f t="array" ref="N136">IF($E$20="Credera US",V136,SUMPRODUCT(('Rates &amp; Drop Downs INT'!$CG$6:$CG$747=$D136)*('Rates &amp; Drop Downs INT'!$CI$6:$CI$747=$F136)*('Rates &amp; Drop Downs INT'!$CK$6:$CK$747=$K136)*('Rates &amp; Drop Downs INT'!$CM$6:$CM$747)))</f>
        <v>0</v>
      </c>
      <c r="O136" s="1681"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2055"/>
      <c r="Q136" s="2055"/>
      <c r="R136" s="2055"/>
      <c r="S136" s="2056"/>
      <c r="T136" s="1679"/>
      <c r="U136" s="1679"/>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53"/>
      <c r="AD136" s="1654"/>
      <c r="AE136" s="881"/>
      <c r="AF136" s="892"/>
      <c r="AH136" s="1709"/>
      <c r="AI136" s="1709"/>
      <c r="AJ136" s="413"/>
      <c r="AK136" s="413"/>
      <c r="AL136" s="413"/>
      <c r="AM136" s="413"/>
      <c r="CM136" s="425"/>
    </row>
    <row r="137" spans="3:91"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74"/>
      <c r="L137" s="1675"/>
      <c r="M137" s="1676"/>
      <c r="N137" s="1189" cm="1">
        <f t="array" ref="N137">IF($E$20="Credera US",V137,SUMPRODUCT(('Rates &amp; Drop Downs INT'!$CG$6:$CG$747=$D137)*('Rates &amp; Drop Downs INT'!$CI$6:$CI$747=$F137)*('Rates &amp; Drop Downs INT'!$CK$6:$CK$747=$K137)*('Rates &amp; Drop Downs INT'!$CM$6:$CM$747)))</f>
        <v>0</v>
      </c>
      <c r="O137" s="1681"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2055"/>
      <c r="Q137" s="2055"/>
      <c r="R137" s="2055"/>
      <c r="S137" s="2056"/>
      <c r="T137" s="1679"/>
      <c r="U137" s="1679"/>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53"/>
      <c r="AD137" s="1654"/>
      <c r="AE137" s="881"/>
      <c r="AF137" s="892"/>
      <c r="AH137" s="1709"/>
      <c r="AI137" s="1709"/>
      <c r="AJ137" s="413"/>
      <c r="AK137" s="413"/>
      <c r="AL137" s="413"/>
      <c r="AM137" s="413"/>
      <c r="CM137" s="425"/>
    </row>
    <row r="138" spans="3:91"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74"/>
      <c r="L138" s="1675"/>
      <c r="M138" s="1676"/>
      <c r="N138" s="1189" cm="1">
        <f t="array" ref="N138">IF($E$20="Credera US",V138,SUMPRODUCT(('Rates &amp; Drop Downs INT'!$CG$6:$CG$747=$D138)*('Rates &amp; Drop Downs INT'!$CI$6:$CI$747=$F138)*('Rates &amp; Drop Downs INT'!$CK$6:$CK$747=$K138)*('Rates &amp; Drop Downs INT'!$CM$6:$CM$747)))</f>
        <v>0</v>
      </c>
      <c r="O138" s="1681"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2055"/>
      <c r="Q138" s="2055"/>
      <c r="R138" s="2055"/>
      <c r="S138" s="2056"/>
      <c r="T138" s="1679"/>
      <c r="U138" s="1679"/>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53"/>
      <c r="AD138" s="1654"/>
      <c r="AE138" s="881"/>
      <c r="AF138" s="892"/>
      <c r="AH138" s="1709"/>
      <c r="AI138" s="1709"/>
      <c r="AJ138" s="413"/>
      <c r="AK138" s="413"/>
      <c r="AL138" s="413"/>
      <c r="AM138" s="413"/>
      <c r="CM138" s="425"/>
    </row>
    <row r="139" spans="3:91"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74"/>
      <c r="L139" s="1675"/>
      <c r="M139" s="1676"/>
      <c r="N139" s="1189" cm="1">
        <f t="array" ref="N139">IF($E$20="Credera US",V139,SUMPRODUCT(('Rates &amp; Drop Downs INT'!$CG$6:$CG$747=$D139)*('Rates &amp; Drop Downs INT'!$CI$6:$CI$747=$F139)*('Rates &amp; Drop Downs INT'!$CK$6:$CK$747=$K139)*('Rates &amp; Drop Downs INT'!$CM$6:$CM$747)))</f>
        <v>0</v>
      </c>
      <c r="O139" s="1681"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2055"/>
      <c r="Q139" s="2055"/>
      <c r="R139" s="2055"/>
      <c r="S139" s="2056"/>
      <c r="T139" s="1679"/>
      <c r="U139" s="1679"/>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53"/>
      <c r="AD139" s="1654"/>
      <c r="AE139" s="881"/>
      <c r="AF139" s="892"/>
      <c r="AH139" s="1709"/>
      <c r="AI139" s="1709"/>
      <c r="AJ139" s="413"/>
      <c r="AK139" s="413"/>
      <c r="AL139" s="413"/>
      <c r="AM139" s="413"/>
      <c r="CM139" s="425"/>
    </row>
    <row r="140" spans="3:91" outlineLevel="3" x14ac:dyDescent="0.3">
      <c r="C140" s="1186"/>
      <c r="D140" s="1187"/>
      <c r="E140" s="1187" t="str">
        <f>IFERROR(_xlfn.XLOOKUP(D140,TADIndia,'Rates &amp; Drop Downs INT'!$CH$6:$CH$747),"")</f>
        <v/>
      </c>
      <c r="F140" s="1187"/>
      <c r="G140" s="1187" t="str">
        <f>IFERROR(_xlfn.XLOOKUP(F140,'Rates &amp; Drop Downs INT'!$CI$6:$CI$747,'Rates &amp; Drop Downs INT'!$CJ$6:$CJ$747),"")</f>
        <v/>
      </c>
      <c r="H140" s="1187" t="str">
        <f>_xlfn.XLOOKUP(F140,'Rates &amp; Drop Downs INT'!$DF$6:$DF$173,'Rates &amp; Drop Downs INT'!$DG$6:$DG$173,"")</f>
        <v/>
      </c>
      <c r="I140" s="1187"/>
      <c r="J140" s="1188">
        <f t="shared" si="3"/>
        <v>0</v>
      </c>
      <c r="K140" s="1674"/>
      <c r="L140" s="1675"/>
      <c r="M140" s="1676"/>
      <c r="N140" s="1189" cm="1">
        <f t="array" ref="N140">IF($E$20="Credera US",V140,SUMPRODUCT(('Rates &amp; Drop Downs INT'!$CG$6:$CG$747=$D140)*('Rates &amp; Drop Downs INT'!$CI$6:$CI$747=$F140)*('Rates &amp; Drop Downs INT'!$CK$6:$CK$747=$K140)*('Rates &amp; Drop Downs INT'!$CM$6:$CM$747)))</f>
        <v>0</v>
      </c>
      <c r="O140" s="1681"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2055"/>
      <c r="Q140" s="2055"/>
      <c r="R140" s="2055"/>
      <c r="S140" s="2056"/>
      <c r="T140" s="1679"/>
      <c r="U140" s="1679"/>
      <c r="V140" s="1203" t="str">
        <f>IFERROR(IF(ISBLANK(K140)," ",_xlfn.XLOOKUP(K140,'Rates &amp; Drop Downs INT'!C:C,'Rates &amp; Drop Downs INT'!J:J)),N140)</f>
        <v xml:space="preserve"> </v>
      </c>
      <c r="W140" s="1203" t="str">
        <f t="shared" si="4"/>
        <v xml:space="preserve"> </v>
      </c>
      <c r="X140" s="1203"/>
      <c r="Y140" s="880" t="s">
        <v>2271</v>
      </c>
      <c r="Z140" s="1187"/>
      <c r="AA140" s="1190"/>
      <c r="AB140" s="1274" t="str">
        <f t="shared" si="5"/>
        <v/>
      </c>
      <c r="AC140" s="1653"/>
      <c r="AD140" s="1654"/>
      <c r="AE140" s="881"/>
      <c r="AF140" s="892"/>
      <c r="AH140" s="1709"/>
      <c r="AI140" s="1709"/>
      <c r="AJ140" s="413"/>
      <c r="AK140" s="413"/>
      <c r="AL140" s="413"/>
      <c r="AM140" s="413"/>
      <c r="CM140" s="425"/>
    </row>
    <row r="141" spans="3:91" outlineLevel="3" x14ac:dyDescent="0.3">
      <c r="C141" s="1186"/>
      <c r="D141" s="1187"/>
      <c r="E141" s="1187" t="str">
        <f>IFERROR(_xlfn.XLOOKUP(D141,TADIndia,'Rates &amp; Drop Downs INT'!$CH$6:$CH$747),"")</f>
        <v/>
      </c>
      <c r="F141" s="1187"/>
      <c r="G141" s="1187" t="str">
        <f>IFERROR(_xlfn.XLOOKUP(F141,'Rates &amp; Drop Downs INT'!$CI$6:$CI$747,'Rates &amp; Drop Downs INT'!$CJ$6:$CJ$747),"")</f>
        <v/>
      </c>
      <c r="H141" s="1187" t="str">
        <f>_xlfn.XLOOKUP(F141,'Rates &amp; Drop Downs INT'!$DF$6:$DF$173,'Rates &amp; Drop Downs INT'!$DG$6:$DG$173,"")</f>
        <v/>
      </c>
      <c r="I141" s="1187"/>
      <c r="J141" s="1188">
        <f t="shared" si="3"/>
        <v>0</v>
      </c>
      <c r="K141" s="1674"/>
      <c r="L141" s="1675"/>
      <c r="M141" s="1676"/>
      <c r="N141" s="1189" cm="1">
        <f t="array" ref="N141">IF($E$20="Credera US",V141,SUMPRODUCT(('Rates &amp; Drop Downs INT'!$CG$6:$CG$747=$D141)*('Rates &amp; Drop Downs INT'!$CI$6:$CI$747=$F141)*('Rates &amp; Drop Downs INT'!$CK$6:$CK$747=$K141)*('Rates &amp; Drop Downs INT'!$CM$6:$CM$747)))</f>
        <v>0</v>
      </c>
      <c r="O141" s="1681" t="str" cm="1">
        <f t="array" ref="O141">IFERROR(IF(ISBLANK(C141),"",IF($E$20="Credera US",IF(C141&lt;&gt;"CrederaUS",INDEX('Rates &amp; Drop Downs INT'!$F$7:$F$431,MATCH(1,('Rates &amp; Drop Downs INT'!$B$7:$B$431='2. Roles &amp; Pricing'!C141)*('Rates &amp; Drop Downs INT'!$C$7:$C$431='2. Roles &amp; Pricing'!K141),0)),INDEX('Rates &amp; Drop Downs INT'!$F$7:$F$431,MATCH(1,('Rates &amp; Drop Downs INT'!$B$7:$B$431='2. Roles &amp; Pricing'!C141)*('Rates &amp; Drop Downs INT'!$J$7:$J$431=N141),0))),"")),"")</f>
        <v/>
      </c>
      <c r="P141" s="2055"/>
      <c r="Q141" s="2055"/>
      <c r="R141" s="2055"/>
      <c r="S141" s="2056"/>
      <c r="T141" s="1679"/>
      <c r="U141" s="1679"/>
      <c r="V141" s="1203" t="str">
        <f>IFERROR(IF(ISBLANK(K141)," ",_xlfn.XLOOKUP(K141,'Rates &amp; Drop Downs INT'!C:C,'Rates &amp; Drop Downs INT'!J:J)),N141)</f>
        <v xml:space="preserve"> </v>
      </c>
      <c r="W141" s="1203" t="str">
        <f t="shared" si="4"/>
        <v xml:space="preserve"> </v>
      </c>
      <c r="X141" s="1203"/>
      <c r="Y141" s="880" t="s">
        <v>2271</v>
      </c>
      <c r="Z141" s="1187"/>
      <c r="AA141" s="1190"/>
      <c r="AB141" s="1274" t="str">
        <f t="shared" si="5"/>
        <v/>
      </c>
      <c r="AC141" s="1653"/>
      <c r="AD141" s="1654"/>
      <c r="AE141" s="881"/>
      <c r="AF141" s="892"/>
      <c r="AH141" s="1709"/>
      <c r="AI141" s="1709"/>
      <c r="AJ141" s="413"/>
      <c r="AK141" s="413"/>
      <c r="AL141" s="413"/>
      <c r="AM141" s="413"/>
      <c r="CM141" s="425"/>
    </row>
    <row r="142" spans="3:91" outlineLevel="3" x14ac:dyDescent="0.3">
      <c r="C142" s="1186"/>
      <c r="D142" s="1187"/>
      <c r="E142" s="1187" t="str">
        <f>IFERROR(_xlfn.XLOOKUP(D142,TADIndia,'Rates &amp; Drop Downs INT'!$CH$6:$CH$747),"")</f>
        <v/>
      </c>
      <c r="F142" s="1187"/>
      <c r="G142" s="1187" t="str">
        <f>IFERROR(_xlfn.XLOOKUP(F142,'Rates &amp; Drop Downs INT'!$CI$6:$CI$747,'Rates &amp; Drop Downs INT'!$CJ$6:$CJ$747),"")</f>
        <v/>
      </c>
      <c r="H142" s="1187" t="str">
        <f>_xlfn.XLOOKUP(F142,'Rates &amp; Drop Downs INT'!$DF$6:$DF$173,'Rates &amp; Drop Downs INT'!$DG$6:$DG$173,"")</f>
        <v/>
      </c>
      <c r="I142" s="1187"/>
      <c r="J142" s="1188">
        <f t="shared" si="3"/>
        <v>0</v>
      </c>
      <c r="K142" s="1674"/>
      <c r="L142" s="1675"/>
      <c r="M142" s="1676"/>
      <c r="N142" s="1189" cm="1">
        <f t="array" ref="N142">IF($E$20="Credera US",V142,SUMPRODUCT(('Rates &amp; Drop Downs INT'!$CG$6:$CG$747=$D142)*('Rates &amp; Drop Downs INT'!$CI$6:$CI$747=$F142)*('Rates &amp; Drop Downs INT'!$CK$6:$CK$747=$K142)*('Rates &amp; Drop Downs INT'!$CM$6:$CM$747)))</f>
        <v>0</v>
      </c>
      <c r="O142" s="1681" t="str" cm="1">
        <f t="array" ref="O142">IFERROR(IF(ISBLANK(C142),"",IF($E$20="Credera US",IF(C142&lt;&gt;"CrederaUS",INDEX('Rates &amp; Drop Downs INT'!$F$7:$F$431,MATCH(1,('Rates &amp; Drop Downs INT'!$B$7:$B$431='2. Roles &amp; Pricing'!C142)*('Rates &amp; Drop Downs INT'!$C$7:$C$431='2. Roles &amp; Pricing'!K142),0)),INDEX('Rates &amp; Drop Downs INT'!$F$7:$F$431,MATCH(1,('Rates &amp; Drop Downs INT'!$B$7:$B$431='2. Roles &amp; Pricing'!C142)*('Rates &amp; Drop Downs INT'!$J$7:$J$431=N142),0))),"")),"")</f>
        <v/>
      </c>
      <c r="P142" s="2055"/>
      <c r="Q142" s="2055"/>
      <c r="R142" s="2055"/>
      <c r="S142" s="2056"/>
      <c r="T142" s="1679"/>
      <c r="U142" s="1679"/>
      <c r="V142" s="1203" t="str">
        <f>IFERROR(IF(ISBLANK(K142)," ",_xlfn.XLOOKUP(K142,'Rates &amp; Drop Downs INT'!C:C,'Rates &amp; Drop Downs INT'!J:J)),N142)</f>
        <v xml:space="preserve"> </v>
      </c>
      <c r="W142" s="1203" t="str">
        <f t="shared" si="4"/>
        <v xml:space="preserve"> </v>
      </c>
      <c r="X142" s="1203"/>
      <c r="Y142" s="880" t="s">
        <v>2271</v>
      </c>
      <c r="Z142" s="1187"/>
      <c r="AA142" s="1190"/>
      <c r="AB142" s="1274" t="str">
        <f t="shared" si="5"/>
        <v/>
      </c>
      <c r="AC142" s="1653"/>
      <c r="AD142" s="1654"/>
      <c r="AE142" s="881"/>
      <c r="AF142" s="892"/>
      <c r="AH142" s="1709"/>
      <c r="AI142" s="1709"/>
      <c r="AJ142" s="413"/>
      <c r="AK142" s="413"/>
      <c r="AL142" s="413"/>
      <c r="AM142" s="413"/>
      <c r="CM142" s="425"/>
    </row>
    <row r="143" spans="3:91" outlineLevel="3" x14ac:dyDescent="0.3">
      <c r="C143" s="1186"/>
      <c r="D143" s="1187"/>
      <c r="E143" s="1187" t="str">
        <f>IFERROR(_xlfn.XLOOKUP(D143,TADIndia,'Rates &amp; Drop Downs INT'!$CH$6:$CH$747),"")</f>
        <v/>
      </c>
      <c r="F143" s="1187"/>
      <c r="G143" s="1187" t="str">
        <f>IFERROR(_xlfn.XLOOKUP(F143,'Rates &amp; Drop Downs INT'!$CI$6:$CI$747,'Rates &amp; Drop Downs INT'!$CJ$6:$CJ$747),"")</f>
        <v/>
      </c>
      <c r="H143" s="1187" t="str">
        <f>_xlfn.XLOOKUP(F143,'Rates &amp; Drop Downs INT'!$DF$6:$DF$173,'Rates &amp; Drop Downs INT'!$DG$6:$DG$173,"")</f>
        <v/>
      </c>
      <c r="I143" s="1187"/>
      <c r="J143" s="1188">
        <f t="shared" si="3"/>
        <v>0</v>
      </c>
      <c r="K143" s="1674"/>
      <c r="L143" s="1675"/>
      <c r="M143" s="1676"/>
      <c r="N143" s="1189" cm="1">
        <f t="array" ref="N143">IF($E$20="Credera US",V143,SUMPRODUCT(('Rates &amp; Drop Downs INT'!$CG$6:$CG$747=$D143)*('Rates &amp; Drop Downs INT'!$CI$6:$CI$747=$F143)*('Rates &amp; Drop Downs INT'!$CK$6:$CK$747=$K143)*('Rates &amp; Drop Downs INT'!$CM$6:$CM$747)))</f>
        <v>0</v>
      </c>
      <c r="O143" s="1681" t="str" cm="1">
        <f t="array" ref="O143">IFERROR(IF(ISBLANK(C143),"",IF($E$20="Credera US",IF(C143&lt;&gt;"CrederaUS",INDEX('Rates &amp; Drop Downs INT'!$F$7:$F$431,MATCH(1,('Rates &amp; Drop Downs INT'!$B$7:$B$431='2. Roles &amp; Pricing'!C143)*('Rates &amp; Drop Downs INT'!$C$7:$C$431='2. Roles &amp; Pricing'!K143),0)),INDEX('Rates &amp; Drop Downs INT'!$F$7:$F$431,MATCH(1,('Rates &amp; Drop Downs INT'!$B$7:$B$431='2. Roles &amp; Pricing'!C143)*('Rates &amp; Drop Downs INT'!$J$7:$J$431=N143),0))),"")),"")</f>
        <v/>
      </c>
      <c r="P143" s="2055"/>
      <c r="Q143" s="2055"/>
      <c r="R143" s="2055"/>
      <c r="S143" s="2056"/>
      <c r="T143" s="1679"/>
      <c r="U143" s="1679"/>
      <c r="V143" s="1203" t="str">
        <f>IFERROR(IF(ISBLANK(K143)," ",_xlfn.XLOOKUP(K143,'Rates &amp; Drop Downs INT'!C:C,'Rates &amp; Drop Downs INT'!J:J)),N143)</f>
        <v xml:space="preserve"> </v>
      </c>
      <c r="W143" s="1203" t="str">
        <f t="shared" si="4"/>
        <v xml:space="preserve"> </v>
      </c>
      <c r="X143" s="1203"/>
      <c r="Y143" s="880" t="s">
        <v>2271</v>
      </c>
      <c r="Z143" s="1187"/>
      <c r="AA143" s="1190"/>
      <c r="AB143" s="1274" t="str">
        <f t="shared" si="5"/>
        <v/>
      </c>
      <c r="AC143" s="1653"/>
      <c r="AD143" s="1654"/>
      <c r="AE143" s="881"/>
      <c r="AF143" s="892"/>
      <c r="AH143" s="1709"/>
      <c r="AI143" s="1709"/>
      <c r="AJ143" s="413"/>
      <c r="AK143" s="413"/>
      <c r="AL143" s="413"/>
      <c r="AM143" s="413"/>
      <c r="CM143" s="425"/>
    </row>
    <row r="144" spans="3:91" outlineLevel="3" x14ac:dyDescent="0.3">
      <c r="C144" s="1186"/>
      <c r="D144" s="1187"/>
      <c r="E144" s="1187" t="str">
        <f>IFERROR(_xlfn.XLOOKUP(D144,TADIndia,'Rates &amp; Drop Downs INT'!$CH$6:$CH$747),"")</f>
        <v/>
      </c>
      <c r="F144" s="1187"/>
      <c r="G144" s="1187" t="str">
        <f>IFERROR(_xlfn.XLOOKUP(F144,'Rates &amp; Drop Downs INT'!$CI$6:$CI$747,'Rates &amp; Drop Downs INT'!$CJ$6:$CJ$747),"")</f>
        <v/>
      </c>
      <c r="H144" s="1187" t="str">
        <f>_xlfn.XLOOKUP(F144,'Rates &amp; Drop Downs INT'!$DF$6:$DF$173,'Rates &amp; Drop Downs INT'!$DG$6:$DG$173,"")</f>
        <v/>
      </c>
      <c r="I144" s="1187"/>
      <c r="J144" s="1188">
        <f t="shared" si="3"/>
        <v>0</v>
      </c>
      <c r="K144" s="1674"/>
      <c r="L144" s="1675"/>
      <c r="M144" s="1676"/>
      <c r="N144" s="1189" cm="1">
        <f t="array" ref="N144">IF($E$20="Credera US",V144,SUMPRODUCT(('Rates &amp; Drop Downs INT'!$CG$6:$CG$747=$D144)*('Rates &amp; Drop Downs INT'!$CI$6:$CI$747=$F144)*('Rates &amp; Drop Downs INT'!$CK$6:$CK$747=$K144)*('Rates &amp; Drop Downs INT'!$CM$6:$CM$747)))</f>
        <v>0</v>
      </c>
      <c r="O144" s="1681" t="str" cm="1">
        <f t="array" ref="O144">IFERROR(IF(ISBLANK(C144),"",IF($E$20="Credera US",IF(C144&lt;&gt;"CrederaUS",INDEX('Rates &amp; Drop Downs INT'!$F$7:$F$431,MATCH(1,('Rates &amp; Drop Downs INT'!$B$7:$B$431='2. Roles &amp; Pricing'!C144)*('Rates &amp; Drop Downs INT'!$C$7:$C$431='2. Roles &amp; Pricing'!K144),0)),INDEX('Rates &amp; Drop Downs INT'!$F$7:$F$431,MATCH(1,('Rates &amp; Drop Downs INT'!$B$7:$B$431='2. Roles &amp; Pricing'!C144)*('Rates &amp; Drop Downs INT'!$J$7:$J$431=N144),0))),"")),"")</f>
        <v/>
      </c>
      <c r="P144" s="2055"/>
      <c r="Q144" s="2055"/>
      <c r="R144" s="2055"/>
      <c r="S144" s="2056"/>
      <c r="T144" s="1679"/>
      <c r="U144" s="1679"/>
      <c r="V144" s="1203" t="str">
        <f>IFERROR(IF(ISBLANK(K144)," ",_xlfn.XLOOKUP(K144,'Rates &amp; Drop Downs INT'!C:C,'Rates &amp; Drop Downs INT'!J:J)),N144)</f>
        <v xml:space="preserve"> </v>
      </c>
      <c r="W144" s="1203" t="str">
        <f t="shared" si="4"/>
        <v xml:space="preserve"> </v>
      </c>
      <c r="X144" s="1203"/>
      <c r="Y144" s="880" t="s">
        <v>2271</v>
      </c>
      <c r="Z144" s="1187"/>
      <c r="AA144" s="1190"/>
      <c r="AB144" s="1274" t="str">
        <f t="shared" si="5"/>
        <v/>
      </c>
      <c r="AC144" s="1653"/>
      <c r="AD144" s="1654"/>
      <c r="AE144" s="881"/>
      <c r="AF144" s="892"/>
      <c r="AH144" s="1709"/>
      <c r="AI144" s="1709"/>
      <c r="AJ144" s="413"/>
      <c r="AK144" s="413"/>
      <c r="AL144" s="413"/>
      <c r="AM144" s="413"/>
      <c r="CM144" s="425"/>
    </row>
    <row r="145" spans="1:97" outlineLevel="3" x14ac:dyDescent="0.3">
      <c r="C145" s="1186"/>
      <c r="D145" s="1187"/>
      <c r="E145" s="1187" t="str">
        <f>IFERROR(_xlfn.XLOOKUP(D145,TADIndia,'Rates &amp; Drop Downs INT'!$CH$6:$CH$747),"")</f>
        <v/>
      </c>
      <c r="F145" s="1187"/>
      <c r="G145" s="1187" t="str">
        <f>IFERROR(_xlfn.XLOOKUP(F145,'Rates &amp; Drop Downs INT'!$CI$6:$CI$747,'Rates &amp; Drop Downs INT'!$CJ$6:$CJ$747),"")</f>
        <v/>
      </c>
      <c r="H145" s="1187" t="str">
        <f>_xlfn.XLOOKUP(F145,'Rates &amp; Drop Downs INT'!$DF$6:$DF$173,'Rates &amp; Drop Downs INT'!$DG$6:$DG$173,"")</f>
        <v/>
      </c>
      <c r="I145" s="1187"/>
      <c r="J145" s="1188">
        <f t="shared" si="3"/>
        <v>0</v>
      </c>
      <c r="K145" s="1674"/>
      <c r="L145" s="1675"/>
      <c r="M145" s="1676"/>
      <c r="N145" s="1189" cm="1">
        <f t="array" ref="N145">IF($E$20="Credera US",V145,SUMPRODUCT(('Rates &amp; Drop Downs INT'!$CG$6:$CG$747=$D145)*('Rates &amp; Drop Downs INT'!$CI$6:$CI$747=$F145)*('Rates &amp; Drop Downs INT'!$CK$6:$CK$747=$K145)*('Rates &amp; Drop Downs INT'!$CM$6:$CM$747)))</f>
        <v>0</v>
      </c>
      <c r="O145" s="1681" t="str" cm="1">
        <f t="array" ref="O145">IFERROR(IF(ISBLANK(C145),"",IF($E$20="Credera US",IF(C145&lt;&gt;"CrederaUS",INDEX('Rates &amp; Drop Downs INT'!$F$7:$F$431,MATCH(1,('Rates &amp; Drop Downs INT'!$B$7:$B$431='2. Roles &amp; Pricing'!C145)*('Rates &amp; Drop Downs INT'!$C$7:$C$431='2. Roles &amp; Pricing'!K145),0)),INDEX('Rates &amp; Drop Downs INT'!$F$7:$F$431,MATCH(1,('Rates &amp; Drop Downs INT'!$B$7:$B$431='2. Roles &amp; Pricing'!C145)*('Rates &amp; Drop Downs INT'!$J$7:$J$431=N145),0))),"")),"")</f>
        <v/>
      </c>
      <c r="P145" s="2055"/>
      <c r="Q145" s="2055"/>
      <c r="R145" s="2055"/>
      <c r="S145" s="2056"/>
      <c r="T145" s="1679"/>
      <c r="U145" s="1679"/>
      <c r="V145" s="1203" t="str">
        <f>IFERROR(IF(ISBLANK(K145)," ",_xlfn.XLOOKUP(K145,'Rates &amp; Drop Downs INT'!C:C,'Rates &amp; Drop Downs INT'!J:J)),N145)</f>
        <v xml:space="preserve"> </v>
      </c>
      <c r="W145" s="1203" t="str">
        <f t="shared" si="4"/>
        <v xml:space="preserve"> </v>
      </c>
      <c r="X145" s="1203"/>
      <c r="Y145" s="880" t="s">
        <v>2271</v>
      </c>
      <c r="Z145" s="1187"/>
      <c r="AA145" s="1190"/>
      <c r="AB145" s="1274" t="str">
        <f t="shared" si="5"/>
        <v/>
      </c>
      <c r="AC145" s="1653"/>
      <c r="AD145" s="1654"/>
      <c r="AE145" s="881"/>
      <c r="AF145" s="892"/>
      <c r="AH145" s="1709"/>
      <c r="AI145" s="1709"/>
      <c r="AJ145" s="413"/>
      <c r="AK145" s="413"/>
      <c r="AL145" s="413"/>
      <c r="AM145" s="413"/>
      <c r="CM145" s="425"/>
    </row>
    <row r="146" spans="1:97" outlineLevel="3" x14ac:dyDescent="0.3">
      <c r="C146" s="1186"/>
      <c r="D146" s="1187"/>
      <c r="E146" s="1187" t="str">
        <f>IFERROR(_xlfn.XLOOKUP(D146,TADIndia,'Rates &amp; Drop Downs INT'!$CH$6:$CH$747),"")</f>
        <v/>
      </c>
      <c r="F146" s="1187"/>
      <c r="G146" s="1187" t="str">
        <f>IFERROR(_xlfn.XLOOKUP(F146,'Rates &amp; Drop Downs INT'!$CI$6:$CI$747,'Rates &amp; Drop Downs INT'!$CJ$6:$CJ$747),"")</f>
        <v/>
      </c>
      <c r="H146" s="1187" t="str">
        <f>_xlfn.XLOOKUP(F146,'Rates &amp; Drop Downs INT'!$DF$6:$DF$173,'Rates &amp; Drop Downs INT'!$DG$6:$DG$173,"")</f>
        <v/>
      </c>
      <c r="I146" s="1187"/>
      <c r="J146" s="1188">
        <f t="shared" si="3"/>
        <v>0</v>
      </c>
      <c r="K146" s="1674"/>
      <c r="L146" s="1675"/>
      <c r="M146" s="1676"/>
      <c r="N146" s="1189" cm="1">
        <f t="array" ref="N146">IF($E$20="Credera US",V146,SUMPRODUCT(('Rates &amp; Drop Downs INT'!$CG$6:$CG$747=$D146)*('Rates &amp; Drop Downs INT'!$CI$6:$CI$747=$F146)*('Rates &amp; Drop Downs INT'!$CK$6:$CK$747=$K146)*('Rates &amp; Drop Downs INT'!$CM$6:$CM$747)))</f>
        <v>0</v>
      </c>
      <c r="O146" s="1681" t="str" cm="1">
        <f t="array" ref="O146">IFERROR(IF(ISBLANK(C146),"",IF($E$20="Credera US",IF(C146&lt;&gt;"CrederaUS",INDEX('Rates &amp; Drop Downs INT'!$F$7:$F$431,MATCH(1,('Rates &amp; Drop Downs INT'!$B$7:$B$431='2. Roles &amp; Pricing'!C146)*('Rates &amp; Drop Downs INT'!$C$7:$C$431='2. Roles &amp; Pricing'!K146),0)),INDEX('Rates &amp; Drop Downs INT'!$F$7:$F$431,MATCH(1,('Rates &amp; Drop Downs INT'!$B$7:$B$431='2. Roles &amp; Pricing'!C146)*('Rates &amp; Drop Downs INT'!$J$7:$J$431=N146),0))),"")),"")</f>
        <v/>
      </c>
      <c r="P146" s="2055"/>
      <c r="Q146" s="2055"/>
      <c r="R146" s="2055"/>
      <c r="S146" s="2056"/>
      <c r="T146" s="1679"/>
      <c r="U146" s="1679"/>
      <c r="V146" s="1203" t="str">
        <f>IFERROR(IF(ISBLANK(K146)," ",_xlfn.XLOOKUP(K146,'Rates &amp; Drop Downs INT'!C:C,'Rates &amp; Drop Downs INT'!J:J)),N146)</f>
        <v xml:space="preserve"> </v>
      </c>
      <c r="W146" s="1203" t="str">
        <f t="shared" si="4"/>
        <v xml:space="preserve"> </v>
      </c>
      <c r="X146" s="1203"/>
      <c r="Y146" s="880" t="s">
        <v>2271</v>
      </c>
      <c r="Z146" s="1187"/>
      <c r="AA146" s="1190"/>
      <c r="AB146" s="1274" t="str">
        <f t="shared" si="5"/>
        <v/>
      </c>
      <c r="AC146" s="1653"/>
      <c r="AD146" s="1654"/>
      <c r="AE146" s="881"/>
      <c r="AF146" s="892"/>
      <c r="AH146" s="1709"/>
      <c r="AI146" s="1709"/>
      <c r="AJ146" s="413"/>
      <c r="AK146" s="413"/>
      <c r="AL146" s="413"/>
      <c r="AM146" s="413"/>
      <c r="CM146" s="425"/>
    </row>
    <row r="147" spans="1:97" outlineLevel="3" x14ac:dyDescent="0.3">
      <c r="C147" s="1191"/>
      <c r="D147" s="1192"/>
      <c r="E147" s="1192" t="str">
        <f>IFERROR(_xlfn.XLOOKUP(D147,TADIndia,'Rates &amp; Drop Downs INT'!$CH$6:$CH$747),"")</f>
        <v/>
      </c>
      <c r="F147" s="1192"/>
      <c r="G147" s="1192" t="str">
        <f>IFERROR(_xlfn.XLOOKUP(F147,'Rates &amp; Drop Downs INT'!$CI$6:$CI$747,'Rates &amp; Drop Downs INT'!$CJ$6:$CJ$747),"")</f>
        <v/>
      </c>
      <c r="H147" s="1192" t="str">
        <f>_xlfn.XLOOKUP(F147,'Rates &amp; Drop Downs INT'!$DF$6:$DF$173,'Rates &amp; Drop Downs INT'!$DG$6:$DG$173,"")</f>
        <v/>
      </c>
      <c r="I147" s="1192"/>
      <c r="J147" s="1193">
        <f t="shared" si="3"/>
        <v>0</v>
      </c>
      <c r="K147" s="1674"/>
      <c r="L147" s="1675"/>
      <c r="M147" s="1676"/>
      <c r="N147" s="1194" cm="1">
        <f t="array" ref="N147">IF($E$20="Credera US",V147,SUMPRODUCT(('Rates &amp; Drop Downs INT'!$CG$6:$CG$747=$D147)*('Rates &amp; Drop Downs INT'!$CI$6:$CI$747=$F147)*('Rates &amp; Drop Downs INT'!$CK$6:$CK$747=$K147)*('Rates &amp; Drop Downs INT'!$CM$6:$CM$747)))</f>
        <v>0</v>
      </c>
      <c r="O147" s="1716" t="str" cm="1">
        <f t="array" ref="O147">IFERROR(IF(ISBLANK(C147),"",IF($E$20="Credera US",IF(C147&lt;&gt;"CrederaUS",INDEX('Rates &amp; Drop Downs INT'!$F$7:$F$431,MATCH(1,('Rates &amp; Drop Downs INT'!$B$7:$B$431='2. Roles &amp; Pricing'!C147)*('Rates &amp; Drop Downs INT'!$C$7:$C$431='2. Roles &amp; Pricing'!K147),0)),INDEX('Rates &amp; Drop Downs INT'!$F$7:$F$431,MATCH(1,('Rates &amp; Drop Downs INT'!$B$7:$B$431='2. Roles &amp; Pricing'!C147)*('Rates &amp; Drop Downs INT'!$J$7:$J$431=N147),0))),"")),"")</f>
        <v/>
      </c>
      <c r="P147" s="2057"/>
      <c r="Q147" s="2057"/>
      <c r="R147" s="2057"/>
      <c r="S147" s="2058"/>
      <c r="T147" s="1680"/>
      <c r="U147" s="1680"/>
      <c r="V147" s="1204" t="str">
        <f>IFERROR(IF(ISBLANK(K147)," ",_xlfn.XLOOKUP(K147,'Rates &amp; Drop Downs INT'!C:C,'Rates &amp; Drop Downs INT'!J:J)),N147)</f>
        <v xml:space="preserve"> </v>
      </c>
      <c r="W147" s="1204" t="str">
        <f t="shared" si="4"/>
        <v xml:space="preserve"> </v>
      </c>
      <c r="X147" s="1204"/>
      <c r="Y147" s="893" t="s">
        <v>2271</v>
      </c>
      <c r="Z147" s="1192"/>
      <c r="AA147" s="1195"/>
      <c r="AB147" s="1275" t="str">
        <f t="shared" si="5"/>
        <v/>
      </c>
      <c r="AC147" s="1655"/>
      <c r="AD147" s="1656"/>
      <c r="AE147" s="894"/>
      <c r="AF147" s="895"/>
      <c r="AH147" s="1709"/>
      <c r="AI147" s="1709"/>
      <c r="AJ147" s="413"/>
      <c r="AK147" s="413"/>
      <c r="AL147" s="413"/>
      <c r="AM147" s="413"/>
      <c r="CM147" s="425"/>
    </row>
    <row r="148" spans="1:97" s="406" customFormat="1" x14ac:dyDescent="0.3">
      <c r="B148" s="406" t="s">
        <v>2235</v>
      </c>
      <c r="C148" s="1196" t="s">
        <v>2238</v>
      </c>
      <c r="D148" s="1196"/>
      <c r="E148" s="1196"/>
      <c r="F148" s="1196"/>
      <c r="G148" s="1196"/>
      <c r="H148" s="1196" t="str">
        <f>_xlfn.XLOOKUP(F148,'Rates &amp; Drop Downs INT'!$DF$6:$DF$173,'Rates &amp; Drop Downs INT'!$DG$6:$DG$173,"")</f>
        <v/>
      </c>
      <c r="I148" s="1196"/>
      <c r="J148" s="1196" t="str">
        <f t="shared" si="3"/>
        <v>Click "+" to add additional rows</v>
      </c>
      <c r="K148" s="1196"/>
      <c r="L148" s="1196"/>
      <c r="M148" s="1196"/>
      <c r="N148" s="1196"/>
      <c r="O148" s="1196"/>
      <c r="P148" s="1196"/>
      <c r="Q148" s="1196"/>
      <c r="R148" s="1196"/>
      <c r="S148" s="1196"/>
      <c r="T148" s="1196"/>
      <c r="U148" s="1196"/>
      <c r="V148" s="1196"/>
      <c r="W148" s="1197"/>
      <c r="X148" s="1197"/>
      <c r="Y148" s="1198"/>
      <c r="Z148" s="1197"/>
      <c r="AA148" s="1197"/>
      <c r="AB148" s="1197"/>
      <c r="AC148" s="1197"/>
      <c r="AD148" s="1197"/>
      <c r="AE148" s="1197"/>
      <c r="AF148" s="1199"/>
      <c r="AG148" s="1200"/>
      <c r="AH148" s="1200"/>
      <c r="AI148" s="1200"/>
      <c r="AJ148" s="1200"/>
      <c r="AK148" s="1200"/>
      <c r="AL148" s="1200"/>
      <c r="AM148" s="1200"/>
      <c r="CM148" s="1201"/>
      <c r="CS148" s="486"/>
    </row>
    <row r="149" spans="1:97" x14ac:dyDescent="0.3">
      <c r="C149" s="522"/>
      <c r="D149" s="522"/>
      <c r="E149" s="522"/>
      <c r="F149" s="522"/>
      <c r="G149" s="522"/>
      <c r="H149" s="522"/>
      <c r="I149" s="522"/>
      <c r="J149" s="522"/>
      <c r="K149" s="522"/>
      <c r="L149" s="522"/>
      <c r="M149" s="522"/>
      <c r="N149" s="522"/>
      <c r="O149" s="522"/>
      <c r="P149" s="522"/>
      <c r="Q149" s="522"/>
      <c r="R149" s="522"/>
      <c r="S149" s="522"/>
      <c r="T149" s="522"/>
      <c r="U149" s="522"/>
      <c r="V149" s="522"/>
      <c r="W149" s="448"/>
      <c r="X149" s="448"/>
      <c r="Y149" s="448"/>
      <c r="Z149" s="448"/>
      <c r="AA149" s="448"/>
      <c r="AB149" s="448"/>
      <c r="AC149" s="448"/>
      <c r="AD149" s="448"/>
      <c r="AE149" s="448"/>
      <c r="AF149" s="504"/>
      <c r="AG149" s="399"/>
      <c r="AH149" s="399"/>
      <c r="AI149" s="399"/>
      <c r="AJ149" s="458"/>
      <c r="AK149" s="458"/>
      <c r="AL149" s="458"/>
      <c r="AM149" s="458"/>
      <c r="CM149" s="425"/>
      <c r="CS149" s="487"/>
    </row>
    <row r="150" spans="1:97" s="403" customFormat="1" ht="17.5" x14ac:dyDescent="0.3">
      <c r="A150" s="395"/>
      <c r="B150" s="395"/>
      <c r="C150" s="801" t="s">
        <v>2320</v>
      </c>
      <c r="Y150" s="409"/>
      <c r="Z150" s="409"/>
      <c r="AA150" s="715"/>
      <c r="AB150" s="715"/>
      <c r="AC150" s="715"/>
      <c r="AD150" s="715"/>
      <c r="AE150" s="715"/>
      <c r="AI150" s="559"/>
      <c r="AJ150" s="716"/>
      <c r="AK150" s="716"/>
      <c r="AL150" s="716"/>
      <c r="AM150" s="716"/>
      <c r="CM150" s="717"/>
    </row>
    <row r="151" spans="1:97" s="624" customFormat="1" ht="31" customHeight="1" x14ac:dyDescent="0.35">
      <c r="C151" s="1714" t="s">
        <v>3234</v>
      </c>
      <c r="D151" s="1714"/>
      <c r="E151" s="1714"/>
      <c r="F151" s="1714"/>
      <c r="G151" s="1714"/>
      <c r="H151" s="1715"/>
      <c r="I151" s="1714"/>
      <c r="J151" s="1714"/>
      <c r="K151" s="1714"/>
      <c r="L151" s="1714"/>
      <c r="M151" s="1714"/>
      <c r="N151" s="1714"/>
      <c r="O151" s="1263"/>
      <c r="P151" s="1263"/>
      <c r="Q151" s="1263"/>
      <c r="R151" s="1224"/>
      <c r="S151" s="1224"/>
      <c r="Y151" s="838"/>
      <c r="Z151" s="838"/>
      <c r="AA151" s="839"/>
      <c r="AB151" s="839"/>
      <c r="AC151" s="839"/>
      <c r="AD151" s="839"/>
      <c r="AE151" s="839"/>
      <c r="AI151" s="837"/>
      <c r="AJ151" s="822"/>
      <c r="AK151" s="822"/>
      <c r="AL151" s="822"/>
      <c r="AM151" s="822"/>
      <c r="CM151" s="840"/>
    </row>
    <row r="152" spans="1:97" s="624" customFormat="1" ht="14" customHeight="1" x14ac:dyDescent="0.35">
      <c r="C152" s="1652" t="s">
        <v>3582</v>
      </c>
      <c r="D152" s="1652"/>
      <c r="E152" s="1652"/>
      <c r="F152" s="1652"/>
      <c r="G152" s="1652"/>
      <c r="H152" s="1652"/>
      <c r="I152" s="1652"/>
      <c r="J152" s="1652"/>
      <c r="K152" s="1652"/>
      <c r="L152" s="1652"/>
      <c r="M152" s="1652"/>
      <c r="N152" s="1652"/>
      <c r="O152" s="1652"/>
      <c r="P152" s="1652"/>
      <c r="Y152" s="838"/>
      <c r="Z152" s="838"/>
      <c r="AA152" s="839"/>
      <c r="AB152" s="839"/>
      <c r="AC152" s="839"/>
      <c r="AD152" s="839"/>
      <c r="AE152" s="839"/>
      <c r="AI152" s="837"/>
      <c r="AJ152" s="822"/>
      <c r="AK152" s="822"/>
      <c r="AL152" s="822"/>
      <c r="AM152" s="822"/>
      <c r="CM152" s="840"/>
    </row>
    <row r="153" spans="1:97" s="624" customFormat="1" x14ac:dyDescent="0.35">
      <c r="C153" s="624" t="s">
        <v>2317</v>
      </c>
      <c r="Y153" s="838"/>
      <c r="Z153" s="838"/>
      <c r="AA153" s="839"/>
      <c r="AB153" s="839"/>
      <c r="AC153" s="839"/>
      <c r="AD153" s="839"/>
      <c r="AE153" s="839"/>
      <c r="AI153" s="837"/>
      <c r="AJ153" s="822"/>
      <c r="AK153" s="822"/>
      <c r="AL153" s="822"/>
      <c r="AM153" s="822"/>
      <c r="CM153" s="840"/>
    </row>
    <row r="154" spans="1:97" s="624" customFormat="1" x14ac:dyDescent="0.35">
      <c r="C154" s="1677" t="s">
        <v>2318</v>
      </c>
      <c r="D154" s="1677"/>
      <c r="E154" s="1677"/>
      <c r="F154" s="1677"/>
      <c r="G154" s="1677"/>
      <c r="H154" s="1677"/>
      <c r="I154" s="1677"/>
      <c r="J154" s="1677"/>
      <c r="K154" s="1677"/>
      <c r="L154" s="1677"/>
      <c r="M154" s="1677"/>
      <c r="N154" s="1677"/>
      <c r="Y154" s="838"/>
      <c r="Z154" s="838"/>
      <c r="AA154" s="839"/>
      <c r="AB154" s="839"/>
      <c r="AC154" s="839"/>
      <c r="AD154" s="839"/>
      <c r="AE154" s="839"/>
      <c r="AI154" s="837"/>
      <c r="AJ154" s="822"/>
      <c r="AK154" s="822"/>
      <c r="AL154" s="822"/>
      <c r="AM154" s="822"/>
      <c r="CM154" s="840"/>
    </row>
    <row r="155" spans="1:97" ht="22" customHeight="1" x14ac:dyDescent="0.3">
      <c r="C155" s="1677" t="s">
        <v>2319</v>
      </c>
      <c r="D155" s="1677"/>
      <c r="E155" s="1677"/>
      <c r="F155" s="1677"/>
      <c r="G155" s="1677"/>
      <c r="H155" s="1677"/>
      <c r="I155" s="1677"/>
      <c r="J155" s="1677"/>
      <c r="K155" s="1677"/>
      <c r="L155" s="1677"/>
      <c r="M155" s="1677"/>
      <c r="N155" s="1677"/>
      <c r="O155" s="413"/>
      <c r="P155" s="413"/>
      <c r="Q155" s="413"/>
      <c r="R155" s="413"/>
      <c r="S155" s="413"/>
      <c r="T155" s="413"/>
      <c r="U155" s="413"/>
      <c r="V155" s="413"/>
      <c r="W155" s="413"/>
      <c r="X155" s="413"/>
      <c r="Y155" s="413"/>
      <c r="Z155" s="413"/>
      <c r="AA155" s="399"/>
      <c r="AB155" s="458"/>
      <c r="AC155" s="413"/>
      <c r="AD155" s="413"/>
      <c r="AE155" s="413"/>
      <c r="AF155" s="413"/>
      <c r="AG155" s="458"/>
      <c r="AH155" s="458"/>
      <c r="AI155" s="458"/>
      <c r="CI155" s="425"/>
      <c r="CJ155" s="523"/>
      <c r="CK155" s="523"/>
      <c r="CL155" s="523"/>
      <c r="CM155" s="523"/>
      <c r="CN155" s="523"/>
    </row>
    <row r="156" spans="1:97" ht="23" hidden="1" customHeight="1" x14ac:dyDescent="0.3">
      <c r="C156" s="524"/>
      <c r="D156" s="524" t="str">
        <f t="shared" ref="D156:K156" si="6">IF(E160&gt;1,CONCATENATE("*Week has ",E160," Holidays*",""),IF(E160=1,"*Week has 1 Holiday*",""))</f>
        <v/>
      </c>
      <c r="E156" s="524" t="str">
        <f t="shared" si="6"/>
        <v/>
      </c>
      <c r="F156" s="524" t="str">
        <f t="shared" si="6"/>
        <v/>
      </c>
      <c r="G156" s="524" t="str">
        <f>IF(I160&gt;1,CONCATENATE("*Week has ",I160," Holidays*",""),IF(I160=1,"*Week has 1 Holiday*",""))</f>
        <v/>
      </c>
      <c r="H156" s="524"/>
      <c r="I156" s="524" t="str">
        <f t="shared" si="6"/>
        <v/>
      </c>
      <c r="J156" s="524" t="str">
        <f t="shared" si="6"/>
        <v/>
      </c>
      <c r="K156" s="524" t="str">
        <f t="shared" si="6"/>
        <v/>
      </c>
      <c r="L156" s="524"/>
      <c r="M156" s="524"/>
      <c r="N156" s="524" t="str">
        <f>IF(M160&gt;1,CONCATENATE("*Week has ",M160," Holidays*",""),IF(M160=1,"*Week has 1 Holiday*",""))</f>
        <v/>
      </c>
      <c r="O156" s="524" t="str">
        <f>IF(N160&gt;1,CONCATENATE("*Week has ",N160," Holidays*",""),IF(N160=1,"*Week has 1 Holiday*",""))</f>
        <v/>
      </c>
      <c r="P156" s="524" t="str">
        <f>IF(O160&gt;1,CONCATENATE("*Week has ",O160," Holidays*",""),IF(O160=1,"*Week has 1 Holiday*",""))</f>
        <v/>
      </c>
      <c r="Q156" s="524" t="str">
        <f>IF(P160&gt;1,CONCATENATE("*Week has ",P160," Holidays*",""),IF(P160=1,"*Week has 1 Holiday*",""))</f>
        <v/>
      </c>
      <c r="R156" s="524"/>
      <c r="S156" s="524"/>
      <c r="T156" s="524" t="str">
        <f>IF(Q160&gt;1,CONCATENATE("*Week has ",Q160," Holidays*",""),IF(Q160=1,"*Week has 1 Holiday*",""))</f>
        <v/>
      </c>
      <c r="U156" s="524"/>
      <c r="V156" s="524" t="str">
        <f t="shared" ref="V156:W156" si="7">IF(R160&gt;1,CONCATENATE("*Week has ",R160," Holidays*",""),IF(R160=1,"*Week has 1 Holiday*",""))</f>
        <v/>
      </c>
      <c r="W156" s="524" t="str">
        <f t="shared" si="7"/>
        <v/>
      </c>
      <c r="X156" s="524"/>
      <c r="Y156" s="524" t="str">
        <f>IF(T160&gt;1,CONCATENATE("*Week has ",T160," Holidays*",""),IF(T160=1,"*Week has 1 Holiday*",""))</f>
        <v/>
      </c>
      <c r="Z156" s="524" t="str">
        <f>IF(U160&gt;1,CONCATENATE("*Week has ",U160," Holidays*",""),IF(U160=1,"*Week has 1 Holiday*",""))</f>
        <v/>
      </c>
      <c r="AA156" s="524" t="str">
        <f>IF(V160&gt;1,CONCATENATE("*Week has ",V160," Holidays*",""),IF(V160=1,"*Week has 1 Holiday*",""))</f>
        <v/>
      </c>
      <c r="AB156" s="524" t="str">
        <f>IF(W160&gt;1,CONCATENATE("*Week has ",W160," Holidays*",""),IF(W160=1,"*Week has 1 Holiday*",""))</f>
        <v/>
      </c>
      <c r="AC156" s="524" t="e">
        <f>IF(#REF!&gt;1,CONCATENATE("*Week has ",#REF!," Holidays*",""),IF(#REF!=1,"*Week has 1 Holiday*",""))</f>
        <v>#REF!</v>
      </c>
      <c r="AD156" s="524" t="e">
        <f>IF(#REF!&gt;1,CONCATENATE("*Week has ",#REF!," Holidays*",""),IF(#REF!=1,"*Week has 1 Holiday*",""))</f>
        <v>#REF!</v>
      </c>
      <c r="AE156" s="524" t="e">
        <f>IF(#REF!&gt;1,CONCATENATE("*Week has ",#REF!," Holidays*",""),IF(#REF!=1,"*Week has 1 Holiday*",""))</f>
        <v>#REF!</v>
      </c>
      <c r="AG156" s="524" t="str">
        <f>IF(Y160&gt;1,CONCATENATE("*Week has ",Y160," Holidays*",""),IF(Y160=1,"*Week has 1 Holiday*",""))</f>
        <v/>
      </c>
      <c r="AH156" s="524" t="str">
        <f>IF(Z160&gt;1,CONCATENATE("*Week has ",Z160," Holidays*",""),IF(Z160=1,"*Week has 1 Holiday*",""))</f>
        <v/>
      </c>
      <c r="AI156" s="524" t="str">
        <f>IF(AA160&gt;1,CONCATENATE("*Week has ",AA160," Holidays*",""),IF(AA160=1,"*Week has 1 Holiday*",""))</f>
        <v/>
      </c>
      <c r="AJ156" s="524" t="str">
        <f>IF(AB160&gt;1,CONCATENATE("*Week has ",AB160," Holidays*",""),IF(AB160=1,"*Week has 1 Holiday*",""))</f>
        <v/>
      </c>
      <c r="AK156" s="524" t="str">
        <f>IF(AC160&gt;1,CONCATENATE("*Week has ",AC160," Holidays*",""),IF(AC160=1,"*Week has 1 Holiday*",""))</f>
        <v/>
      </c>
      <c r="AL156" s="524" t="str">
        <f t="shared" ref="AL156:BN156" si="8">IF(AH160&gt;1,CONCATENATE("*Week has ",AH160," Holidays*",""),IF(AH160=1,"*Week has 1 Holiday*",""))</f>
        <v/>
      </c>
      <c r="AM156" s="524" t="str">
        <f t="shared" si="8"/>
        <v/>
      </c>
      <c r="AN156" s="524" t="str">
        <f t="shared" si="8"/>
        <v/>
      </c>
      <c r="AO156" s="524" t="str">
        <f t="shared" si="8"/>
        <v/>
      </c>
      <c r="AP156" s="524" t="str">
        <f t="shared" si="8"/>
        <v/>
      </c>
      <c r="AQ156" s="524" t="str">
        <f t="shared" si="8"/>
        <v/>
      </c>
      <c r="AR156" s="524" t="str">
        <f t="shared" si="8"/>
        <v/>
      </c>
      <c r="AS156" s="524" t="str">
        <f t="shared" si="8"/>
        <v/>
      </c>
      <c r="AT156" s="524" t="str">
        <f t="shared" si="8"/>
        <v/>
      </c>
      <c r="AU156" s="524" t="str">
        <f t="shared" si="8"/>
        <v/>
      </c>
      <c r="AV156" s="524" t="str">
        <f t="shared" si="8"/>
        <v/>
      </c>
      <c r="AW156" s="524" t="str">
        <f t="shared" si="8"/>
        <v/>
      </c>
      <c r="AX156" s="524" t="str">
        <f t="shared" si="8"/>
        <v/>
      </c>
      <c r="AY156" s="524" t="str">
        <f t="shared" si="8"/>
        <v/>
      </c>
      <c r="AZ156" s="524" t="str">
        <f t="shared" si="8"/>
        <v/>
      </c>
      <c r="BA156" s="524" t="str">
        <f t="shared" si="8"/>
        <v/>
      </c>
      <c r="BB156" s="524" t="str">
        <f t="shared" si="8"/>
        <v/>
      </c>
      <c r="BC156" s="524" t="str">
        <f t="shared" si="8"/>
        <v/>
      </c>
      <c r="BD156" s="524" t="str">
        <f t="shared" si="8"/>
        <v/>
      </c>
      <c r="BE156" s="524" t="str">
        <f t="shared" si="8"/>
        <v/>
      </c>
      <c r="BF156" s="524" t="str">
        <f t="shared" si="8"/>
        <v/>
      </c>
      <c r="BG156" s="524" t="str">
        <f t="shared" si="8"/>
        <v/>
      </c>
      <c r="BH156" s="524" t="str">
        <f t="shared" si="8"/>
        <v/>
      </c>
      <c r="BI156" s="524" t="str">
        <f t="shared" si="8"/>
        <v/>
      </c>
      <c r="BJ156" s="524" t="str">
        <f t="shared" si="8"/>
        <v/>
      </c>
      <c r="BK156" s="524" t="str">
        <f t="shared" si="8"/>
        <v/>
      </c>
      <c r="BL156" s="524" t="str">
        <f t="shared" si="8"/>
        <v/>
      </c>
      <c r="BM156" s="524" t="str">
        <f t="shared" si="8"/>
        <v/>
      </c>
      <c r="BN156" s="524" t="str">
        <f t="shared" si="8"/>
        <v/>
      </c>
      <c r="CI156" s="425"/>
      <c r="CJ156" s="523"/>
      <c r="CK156" s="523"/>
      <c r="CL156" s="523"/>
      <c r="CM156" s="523"/>
      <c r="CN156" s="523"/>
    </row>
    <row r="157" spans="1:97" s="458" customFormat="1" ht="27.5" customHeight="1" x14ac:dyDescent="0.35">
      <c r="D157" s="1388"/>
      <c r="E157" s="1389"/>
      <c r="F157" s="1389" t="s">
        <v>121</v>
      </c>
      <c r="G157" s="1389"/>
      <c r="H157" s="1389"/>
      <c r="I157" s="1389" t="s">
        <v>122</v>
      </c>
      <c r="J157" s="1389"/>
      <c r="K157" s="1389" t="s">
        <v>123</v>
      </c>
      <c r="L157" s="1389" t="s">
        <v>124</v>
      </c>
      <c r="M157" s="1389" t="s">
        <v>125</v>
      </c>
      <c r="N157" s="1389" t="s">
        <v>126</v>
      </c>
      <c r="O157" s="1389" t="s">
        <v>127</v>
      </c>
      <c r="P157" s="1389" t="s">
        <v>128</v>
      </c>
      <c r="Q157" s="1389" t="s">
        <v>129</v>
      </c>
      <c r="R157" s="1389" t="s">
        <v>130</v>
      </c>
      <c r="S157" s="1389" t="s">
        <v>131</v>
      </c>
      <c r="T157" s="1389" t="s">
        <v>132</v>
      </c>
      <c r="U157" s="1389" t="s">
        <v>133</v>
      </c>
      <c r="V157" s="1389"/>
      <c r="W157" s="1389"/>
      <c r="X157" s="1389"/>
      <c r="Y157" s="1389" t="s">
        <v>134</v>
      </c>
      <c r="Z157" s="1389" t="s">
        <v>135</v>
      </c>
      <c r="AA157" s="1389" t="s">
        <v>136</v>
      </c>
      <c r="AB157" s="1389" t="s">
        <v>137</v>
      </c>
      <c r="AC157" s="720"/>
      <c r="AD157" s="720"/>
      <c r="AE157" s="720"/>
      <c r="AF157" s="720"/>
      <c r="AG157" s="720" t="s">
        <v>138</v>
      </c>
      <c r="AH157" s="720" t="s">
        <v>139</v>
      </c>
      <c r="AI157" s="720" t="s">
        <v>140</v>
      </c>
      <c r="AJ157" s="720" t="s">
        <v>141</v>
      </c>
      <c r="AK157" s="720" t="s">
        <v>142</v>
      </c>
      <c r="AL157" s="720" t="s">
        <v>143</v>
      </c>
      <c r="AM157" s="720" t="s">
        <v>144</v>
      </c>
      <c r="AN157" s="720" t="s">
        <v>145</v>
      </c>
      <c r="AO157" s="720" t="s">
        <v>146</v>
      </c>
      <c r="AP157" s="720" t="s">
        <v>147</v>
      </c>
      <c r="AQ157" s="720" t="s">
        <v>148</v>
      </c>
      <c r="AR157" s="720" t="s">
        <v>149</v>
      </c>
      <c r="AS157" s="720" t="s">
        <v>150</v>
      </c>
      <c r="AT157" s="720" t="s">
        <v>151</v>
      </c>
      <c r="AU157" s="720" t="s">
        <v>152</v>
      </c>
      <c r="AV157" s="720" t="s">
        <v>153</v>
      </c>
      <c r="AW157" s="720" t="s">
        <v>154</v>
      </c>
      <c r="AX157" s="720" t="s">
        <v>155</v>
      </c>
      <c r="AY157" s="720" t="s">
        <v>156</v>
      </c>
      <c r="AZ157" s="720" t="s">
        <v>157</v>
      </c>
      <c r="BA157" s="720" t="s">
        <v>158</v>
      </c>
      <c r="BB157" s="720" t="s">
        <v>159</v>
      </c>
      <c r="BC157" s="720" t="s">
        <v>160</v>
      </c>
      <c r="BD157" s="720" t="s">
        <v>161</v>
      </c>
      <c r="BE157" s="720" t="s">
        <v>162</v>
      </c>
      <c r="BF157" s="720" t="s">
        <v>163</v>
      </c>
      <c r="BG157" s="720" t="s">
        <v>164</v>
      </c>
      <c r="BH157" s="720" t="s">
        <v>165</v>
      </c>
      <c r="BI157" s="720" t="s">
        <v>166</v>
      </c>
      <c r="BJ157" s="720" t="s">
        <v>167</v>
      </c>
      <c r="BK157" s="720" t="s">
        <v>168</v>
      </c>
      <c r="BL157" s="720" t="s">
        <v>169</v>
      </c>
      <c r="BM157" s="720" t="s">
        <v>170</v>
      </c>
      <c r="BN157" s="720" t="s">
        <v>171</v>
      </c>
      <c r="BO157" s="720" t="s">
        <v>172</v>
      </c>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row>
    <row r="158" spans="1:97" s="398" customFormat="1" ht="26.25" customHeight="1" x14ac:dyDescent="0.3">
      <c r="D158" s="1388"/>
      <c r="E158" s="1390"/>
      <c r="F158" s="1390">
        <f>IF(E28="MM/DD/YYYY"," ",E28)</f>
        <v>45916</v>
      </c>
      <c r="G158" s="1390"/>
      <c r="H158" s="1390"/>
      <c r="I158" s="1390">
        <f>IFERROR(F158+7-WEEKDAY(F158,3),"")</f>
        <v>45922</v>
      </c>
      <c r="J158" s="1390"/>
      <c r="K158" s="1390">
        <f>IFERROR(I158+7," ")</f>
        <v>45929</v>
      </c>
      <c r="L158" s="1390">
        <f>IFERROR(K158+7," ")</f>
        <v>45936</v>
      </c>
      <c r="M158" s="1390">
        <f>IFERROR(L158+7," ")</f>
        <v>45943</v>
      </c>
      <c r="N158" s="1390">
        <f>IFERROR(M158+7," ")</f>
        <v>45950</v>
      </c>
      <c r="O158" s="1390">
        <f>IFERROR(N158+7," ")</f>
        <v>45957</v>
      </c>
      <c r="P158" s="1390">
        <f t="shared" ref="P158" si="9">IFERROR(O158+7," ")</f>
        <v>45964</v>
      </c>
      <c r="Q158" s="1390">
        <f t="shared" ref="Q158" si="10">IFERROR(P158+7," ")</f>
        <v>45971</v>
      </c>
      <c r="R158" s="1390">
        <f t="shared" ref="R158" si="11">IFERROR(Q158+7," ")</f>
        <v>45978</v>
      </c>
      <c r="S158" s="1390">
        <f t="shared" ref="S158" si="12">IFERROR(R158+7," ")</f>
        <v>45985</v>
      </c>
      <c r="T158" s="1390">
        <f t="shared" ref="T158" si="13">IFERROR(S158+7," ")</f>
        <v>45992</v>
      </c>
      <c r="U158" s="1390">
        <f t="shared" ref="U158" si="14">IFERROR(T158+7," ")</f>
        <v>45999</v>
      </c>
      <c r="V158" s="1390"/>
      <c r="W158" s="1390"/>
      <c r="X158" s="1390"/>
      <c r="Y158" s="1390">
        <f>IFERROR(U158+7," ")</f>
        <v>46006</v>
      </c>
      <c r="Z158" s="1390">
        <f t="shared" ref="Z158" si="15">IFERROR(Y158+7," ")</f>
        <v>46013</v>
      </c>
      <c r="AA158" s="1390">
        <f t="shared" ref="AA158" si="16">IFERROR(Z158+7," ")</f>
        <v>46020</v>
      </c>
      <c r="AB158" s="1390">
        <f t="shared" ref="AB158" si="17">IFERROR(AA158+7," ")</f>
        <v>46027</v>
      </c>
      <c r="AC158" s="1390"/>
      <c r="AD158" s="1524"/>
      <c r="AE158" s="1524"/>
      <c r="AF158" s="1524"/>
      <c r="AG158" s="1390">
        <f>IFERROR(AB158+7," ")</f>
        <v>46034</v>
      </c>
      <c r="AH158" s="1390">
        <f>IFERROR(AG158+7," ")</f>
        <v>46041</v>
      </c>
      <c r="AI158" s="1390">
        <f t="shared" ref="AI158:BJ158" si="18">IFERROR(AH158+7," ")</f>
        <v>46048</v>
      </c>
      <c r="AJ158" s="1390">
        <f>IFERROR(AI158+7," ")</f>
        <v>46055</v>
      </c>
      <c r="AK158" s="1390">
        <f t="shared" si="18"/>
        <v>46062</v>
      </c>
      <c r="AL158" s="1390">
        <f t="shared" si="18"/>
        <v>46069</v>
      </c>
      <c r="AM158" s="1390">
        <f t="shared" si="18"/>
        <v>46076</v>
      </c>
      <c r="AN158" s="1390">
        <f t="shared" si="18"/>
        <v>46083</v>
      </c>
      <c r="AO158" s="1390">
        <f t="shared" si="18"/>
        <v>46090</v>
      </c>
      <c r="AP158" s="1390">
        <f t="shared" si="18"/>
        <v>46097</v>
      </c>
      <c r="AQ158" s="1390">
        <f t="shared" si="18"/>
        <v>46104</v>
      </c>
      <c r="AR158" s="1390">
        <f t="shared" si="18"/>
        <v>46111</v>
      </c>
      <c r="AS158" s="1390">
        <f t="shared" si="18"/>
        <v>46118</v>
      </c>
      <c r="AT158" s="1390">
        <f t="shared" si="18"/>
        <v>46125</v>
      </c>
      <c r="AU158" s="1390">
        <f t="shared" si="18"/>
        <v>46132</v>
      </c>
      <c r="AV158" s="1390">
        <f t="shared" si="18"/>
        <v>46139</v>
      </c>
      <c r="AW158" s="1390">
        <f t="shared" si="18"/>
        <v>46146</v>
      </c>
      <c r="AX158" s="1390">
        <f t="shared" si="18"/>
        <v>46153</v>
      </c>
      <c r="AY158" s="1390">
        <f t="shared" si="18"/>
        <v>46160</v>
      </c>
      <c r="AZ158" s="1390">
        <f t="shared" si="18"/>
        <v>46167</v>
      </c>
      <c r="BA158" s="1390">
        <f t="shared" si="18"/>
        <v>46174</v>
      </c>
      <c r="BB158" s="1390">
        <f t="shared" si="18"/>
        <v>46181</v>
      </c>
      <c r="BC158" s="1390">
        <f t="shared" si="18"/>
        <v>46188</v>
      </c>
      <c r="BD158" s="1390">
        <f t="shared" si="18"/>
        <v>46195</v>
      </c>
      <c r="BE158" s="1390">
        <f t="shared" si="18"/>
        <v>46202</v>
      </c>
      <c r="BF158" s="1390">
        <f t="shared" si="18"/>
        <v>46209</v>
      </c>
      <c r="BG158" s="1390">
        <f t="shared" si="18"/>
        <v>46216</v>
      </c>
      <c r="BH158" s="1390">
        <f t="shared" si="18"/>
        <v>46223</v>
      </c>
      <c r="BI158" s="1390">
        <f t="shared" si="18"/>
        <v>46230</v>
      </c>
      <c r="BJ158" s="1390">
        <f t="shared" si="18"/>
        <v>46237</v>
      </c>
      <c r="BK158" s="1390">
        <f t="shared" ref="BK158" si="19">IFERROR(BJ158+7," ")</f>
        <v>46244</v>
      </c>
      <c r="BL158" s="1390">
        <f t="shared" ref="BL158" si="20">IFERROR(BK158+7," ")</f>
        <v>46251</v>
      </c>
      <c r="BM158" s="1390">
        <f t="shared" ref="BM158" si="21">IFERROR(BL158+7," ")</f>
        <v>46258</v>
      </c>
      <c r="BN158" s="1390">
        <f>IFERROR(BM158+7," ")</f>
        <v>46265</v>
      </c>
      <c r="BO158" s="1390">
        <f>IFERROR(BN158+7," ")</f>
        <v>46272</v>
      </c>
      <c r="CE158" s="425"/>
      <c r="CF158" s="543"/>
      <c r="CG158" s="543"/>
      <c r="CH158" s="543"/>
      <c r="CI158" s="543"/>
      <c r="CJ158" s="543"/>
    </row>
    <row r="159" spans="1:97" hidden="1" x14ac:dyDescent="0.3">
      <c r="D159" s="1227" t="s">
        <v>2321</v>
      </c>
      <c r="E159" s="524"/>
      <c r="F159" s="524" t="str">
        <f t="shared" ref="F159" si="22">IF(F160&gt;1,CONCATENATE("*",F160," Holidays*",""),IF(F160=1,"*1 Holiday*",""))</f>
        <v/>
      </c>
      <c r="G159" s="524"/>
      <c r="H159" s="524"/>
      <c r="I159" s="524" t="str">
        <f t="shared" ref="I159" si="23">IF(I160&gt;1,CONCATENATE("*",I160," Holidays*",""),IF(I160=1,"*1 Holiday*",""))</f>
        <v/>
      </c>
      <c r="J159" s="524"/>
      <c r="K159" s="524" t="str">
        <f t="shared" ref="K159:U159" si="24">IF(K160&gt;1,CONCATENATE("*",K160," Holidays*",""),IF(K160=1,"*1 Holiday*",""))</f>
        <v/>
      </c>
      <c r="L159" s="524" t="str">
        <f t="shared" si="24"/>
        <v/>
      </c>
      <c r="M159" s="524" t="str">
        <f t="shared" si="24"/>
        <v/>
      </c>
      <c r="N159" s="524" t="str">
        <f t="shared" si="24"/>
        <v/>
      </c>
      <c r="O159" s="524" t="str">
        <f t="shared" si="24"/>
        <v/>
      </c>
      <c r="P159" s="524" t="str">
        <f t="shared" si="24"/>
        <v/>
      </c>
      <c r="Q159" s="524" t="str">
        <f t="shared" si="24"/>
        <v/>
      </c>
      <c r="R159" s="524" t="str">
        <f t="shared" si="24"/>
        <v/>
      </c>
      <c r="S159" s="524" t="str">
        <f t="shared" si="24"/>
        <v/>
      </c>
      <c r="T159" s="524" t="str">
        <f t="shared" si="24"/>
        <v/>
      </c>
      <c r="U159" s="524" t="str">
        <f t="shared" si="24"/>
        <v/>
      </c>
      <c r="V159" s="524"/>
      <c r="W159" s="524"/>
      <c r="X159" s="524"/>
      <c r="Y159" s="524" t="str">
        <f t="shared" ref="Y159:AB159" si="25">IF(Y160&gt;1,CONCATENATE("*",Y160," Holidays*",""),IF(Y160=1,"*1 Holiday*",""))</f>
        <v/>
      </c>
      <c r="Z159" s="524" t="str">
        <f t="shared" si="25"/>
        <v/>
      </c>
      <c r="AA159" s="524" t="str">
        <f t="shared" si="25"/>
        <v/>
      </c>
      <c r="AB159" s="524" t="str">
        <f t="shared" si="25"/>
        <v/>
      </c>
      <c r="AC159" s="524"/>
      <c r="AH159" s="524" t="str">
        <f t="shared" ref="AH159:BM159" si="26">IF(AH160&gt;1,CONCATENATE("*",AH160," Holidays*",""),IF(AH160=1,"*1 Holiday*",""))</f>
        <v/>
      </c>
      <c r="AI159" s="524" t="str">
        <f t="shared" si="26"/>
        <v/>
      </c>
      <c r="AJ159" s="524" t="str">
        <f t="shared" si="26"/>
        <v/>
      </c>
      <c r="AK159" s="524" t="str">
        <f t="shared" si="26"/>
        <v/>
      </c>
      <c r="AL159" s="524" t="str">
        <f t="shared" si="26"/>
        <v/>
      </c>
      <c r="AM159" s="524" t="str">
        <f t="shared" si="26"/>
        <v/>
      </c>
      <c r="AN159" s="524" t="str">
        <f t="shared" si="26"/>
        <v/>
      </c>
      <c r="AO159" s="524" t="str">
        <f t="shared" si="26"/>
        <v/>
      </c>
      <c r="AP159" s="524" t="str">
        <f t="shared" si="26"/>
        <v/>
      </c>
      <c r="AQ159" s="524" t="str">
        <f t="shared" si="26"/>
        <v/>
      </c>
      <c r="AR159" s="524" t="str">
        <f t="shared" si="26"/>
        <v/>
      </c>
      <c r="AS159" s="524" t="str">
        <f t="shared" si="26"/>
        <v/>
      </c>
      <c r="AT159" s="524" t="str">
        <f t="shared" si="26"/>
        <v/>
      </c>
      <c r="AU159" s="524" t="str">
        <f t="shared" si="26"/>
        <v/>
      </c>
      <c r="AV159" s="524" t="str">
        <f t="shared" si="26"/>
        <v/>
      </c>
      <c r="AW159" s="524" t="str">
        <f t="shared" si="26"/>
        <v/>
      </c>
      <c r="AX159" s="524" t="str">
        <f t="shared" si="26"/>
        <v/>
      </c>
      <c r="AY159" s="524" t="str">
        <f t="shared" si="26"/>
        <v/>
      </c>
      <c r="AZ159" s="524" t="str">
        <f t="shared" si="26"/>
        <v/>
      </c>
      <c r="BA159" s="524" t="str">
        <f t="shared" si="26"/>
        <v/>
      </c>
      <c r="BB159" s="524" t="str">
        <f t="shared" si="26"/>
        <v/>
      </c>
      <c r="BC159" s="524" t="str">
        <f t="shared" si="26"/>
        <v/>
      </c>
      <c r="BD159" s="524" t="str">
        <f t="shared" si="26"/>
        <v/>
      </c>
      <c r="BE159" s="524" t="str">
        <f t="shared" si="26"/>
        <v/>
      </c>
      <c r="BF159" s="524" t="str">
        <f t="shared" si="26"/>
        <v/>
      </c>
      <c r="BG159" s="524" t="str">
        <f t="shared" si="26"/>
        <v/>
      </c>
      <c r="BH159" s="524" t="str">
        <f t="shared" si="26"/>
        <v/>
      </c>
      <c r="BI159" s="524" t="str">
        <f t="shared" si="26"/>
        <v/>
      </c>
      <c r="BJ159" s="524" t="str">
        <f t="shared" si="26"/>
        <v/>
      </c>
      <c r="BK159" s="524" t="str">
        <f t="shared" si="26"/>
        <v/>
      </c>
      <c r="BL159" s="524" t="str">
        <f t="shared" si="26"/>
        <v/>
      </c>
      <c r="BM159" s="524" t="str">
        <f t="shared" si="26"/>
        <v/>
      </c>
      <c r="CE159" s="425"/>
      <c r="CF159" s="487"/>
      <c r="CG159" s="487"/>
      <c r="CH159" s="487"/>
      <c r="CI159" s="487"/>
      <c r="CJ159" s="487"/>
    </row>
    <row r="160" spans="1:97" ht="17" customHeight="1" x14ac:dyDescent="0.3">
      <c r="C160" s="1723" t="s">
        <v>3679</v>
      </c>
      <c r="D160" s="1723"/>
      <c r="E160" s="1391"/>
      <c r="F160" s="1391">
        <f t="shared" ref="F160:I160" si="27">SUMIF(F161:F165,"&lt;&gt;0")</f>
        <v>0</v>
      </c>
      <c r="G160" s="1391"/>
      <c r="H160" s="1391"/>
      <c r="I160" s="1391">
        <f t="shared" si="27"/>
        <v>0</v>
      </c>
      <c r="J160" s="1391"/>
      <c r="K160" s="1391">
        <f t="shared" ref="K160" si="28">SUMIF(K161:K165,"&lt;&gt;0")</f>
        <v>0</v>
      </c>
      <c r="L160" s="1391">
        <f t="shared" ref="L160" si="29">SUMIF(L161:L165,"&lt;&gt;0")</f>
        <v>0</v>
      </c>
      <c r="M160" s="1391">
        <f t="shared" ref="M160" si="30">SUMIF(M161:M165,"&lt;&gt;0")</f>
        <v>0</v>
      </c>
      <c r="N160" s="1391">
        <f t="shared" ref="N160" si="31">SUMIF(N161:N165,"&lt;&gt;0")</f>
        <v>0</v>
      </c>
      <c r="O160" s="1391">
        <f t="shared" ref="O160" si="32">SUMIF(O161:O165,"&lt;&gt;0")</f>
        <v>0</v>
      </c>
      <c r="P160" s="1391">
        <f t="shared" ref="P160" si="33">SUMIF(P161:P165,"&lt;&gt;0")</f>
        <v>0</v>
      </c>
      <c r="Q160" s="1391">
        <f t="shared" ref="Q160" si="34">SUMIF(Q161:Q165,"&lt;&gt;0")</f>
        <v>0</v>
      </c>
      <c r="R160" s="1391">
        <f t="shared" ref="R160" si="35">SUMIF(R161:R165,"&lt;&gt;0")</f>
        <v>0</v>
      </c>
      <c r="S160" s="1391">
        <f t="shared" ref="S160" si="36">SUMIF(S161:S165,"&lt;&gt;0")</f>
        <v>0</v>
      </c>
      <c r="T160" s="1391">
        <f t="shared" ref="T160" si="37">SUMIF(T161:T165,"&lt;&gt;0")</f>
        <v>0</v>
      </c>
      <c r="U160" s="1391">
        <f t="shared" ref="U160" si="38">SUMIF(U161:U165,"&lt;&gt;0")</f>
        <v>0</v>
      </c>
      <c r="V160" s="1391"/>
      <c r="W160" s="1391"/>
      <c r="X160" s="1391"/>
      <c r="Y160" s="1391">
        <f t="shared" ref="Y160" si="39">SUMIF(Y161:Y165,"&lt;&gt;0")</f>
        <v>0</v>
      </c>
      <c r="Z160" s="1391">
        <f t="shared" ref="Z160" si="40">SUMIF(Z161:Z165,"&lt;&gt;0")</f>
        <v>0</v>
      </c>
      <c r="AA160" s="1391">
        <f t="shared" ref="AA160" si="41">SUMIF(AA161:AA165,"&lt;&gt;0")</f>
        <v>0</v>
      </c>
      <c r="AB160" s="1391">
        <f t="shared" ref="AB160" si="42">SUMIF(AB161:AB165,"&lt;&gt;0")</f>
        <v>0</v>
      </c>
      <c r="AC160" s="1391"/>
      <c r="AD160" s="1391"/>
      <c r="AE160" s="1391"/>
      <c r="AF160" s="1391"/>
      <c r="AG160" s="1391">
        <f t="shared" ref="AG160" si="43">SUMIF(AG161:AG165,"&lt;&gt;0")</f>
        <v>0</v>
      </c>
      <c r="AH160" s="1391">
        <f t="shared" ref="AH160" si="44">SUMIF(AH161:AH165,"&lt;&gt;0")</f>
        <v>0</v>
      </c>
      <c r="AI160" s="1391">
        <f t="shared" ref="AI160" si="45">SUMIF(AI161:AI165,"&lt;&gt;0")</f>
        <v>0</v>
      </c>
      <c r="AJ160" s="1391">
        <f t="shared" ref="AJ160" si="46">SUMIF(AJ161:AJ165,"&lt;&gt;0")</f>
        <v>0</v>
      </c>
      <c r="AK160" s="1391">
        <f t="shared" ref="AK160" si="47">SUMIF(AK161:AK165,"&lt;&gt;0")</f>
        <v>0</v>
      </c>
      <c r="AL160" s="1391">
        <f t="shared" ref="AL160:AM160" si="48">SUMIF(AL161:AL165,"&lt;&gt;0")</f>
        <v>0</v>
      </c>
      <c r="AM160" s="1391">
        <f t="shared" si="48"/>
        <v>0</v>
      </c>
      <c r="AN160" s="1391">
        <f t="shared" ref="AN160" si="49">SUMIF(AN161:AN165,"&lt;&gt;0")</f>
        <v>0</v>
      </c>
      <c r="AO160" s="1391">
        <f t="shared" ref="AO160" si="50">SUMIF(AO161:AO165,"&lt;&gt;0")</f>
        <v>0</v>
      </c>
      <c r="AP160" s="1391">
        <f t="shared" ref="AP160" si="51">SUMIF(AP161:AP165,"&lt;&gt;0")</f>
        <v>0</v>
      </c>
      <c r="AQ160" s="1391">
        <f t="shared" ref="AQ160" si="52">SUMIF(AQ161:AQ165,"&lt;&gt;0")</f>
        <v>0</v>
      </c>
      <c r="AR160" s="1391">
        <f t="shared" ref="AR160" si="53">SUMIF(AR161:AR165,"&lt;&gt;0")</f>
        <v>0</v>
      </c>
      <c r="AS160" s="1391">
        <f t="shared" ref="AS160" si="54">SUMIF(AS161:AS165,"&lt;&gt;0")</f>
        <v>0</v>
      </c>
      <c r="AT160" s="1391">
        <f t="shared" ref="AT160:AU160" si="55">SUMIF(AT161:AT165,"&lt;&gt;0")</f>
        <v>0</v>
      </c>
      <c r="AU160" s="1391">
        <f t="shared" si="55"/>
        <v>0</v>
      </c>
      <c r="AV160" s="1391">
        <f t="shared" ref="AV160" si="56">SUMIF(AV161:AV165,"&lt;&gt;0")</f>
        <v>0</v>
      </c>
      <c r="AW160" s="1391">
        <f t="shared" ref="AW160" si="57">SUMIF(AW161:AW165,"&lt;&gt;0")</f>
        <v>0</v>
      </c>
      <c r="AX160" s="1391">
        <f t="shared" ref="AX160" si="58">SUMIF(AX161:AX165,"&lt;&gt;0")</f>
        <v>0</v>
      </c>
      <c r="AY160" s="1391">
        <f t="shared" ref="AY160" si="59">SUMIF(AY161:AY165,"&lt;&gt;0")</f>
        <v>0</v>
      </c>
      <c r="AZ160" s="1391">
        <f t="shared" ref="AZ160" si="60">SUMIF(AZ161:AZ165,"&lt;&gt;0")</f>
        <v>0</v>
      </c>
      <c r="BA160" s="1391">
        <f t="shared" ref="BA160" si="61">SUMIF(BA161:BA165,"&lt;&gt;0")</f>
        <v>0</v>
      </c>
      <c r="BB160" s="1391">
        <f t="shared" ref="BB160:BC160" si="62">SUMIF(BB161:BB165,"&lt;&gt;0")</f>
        <v>0</v>
      </c>
      <c r="BC160" s="1391">
        <f t="shared" si="62"/>
        <v>0</v>
      </c>
      <c r="BD160" s="1391">
        <f t="shared" ref="BD160" si="63">SUMIF(BD161:BD165,"&lt;&gt;0")</f>
        <v>0</v>
      </c>
      <c r="BE160" s="1391">
        <f t="shared" ref="BE160" si="64">SUMIF(BE161:BE165,"&lt;&gt;0")</f>
        <v>0</v>
      </c>
      <c r="BF160" s="1391">
        <f t="shared" ref="BF160" si="65">SUMIF(BF161:BF165,"&lt;&gt;0")</f>
        <v>0</v>
      </c>
      <c r="BG160" s="1391">
        <f t="shared" ref="BG160" si="66">SUMIF(BG161:BG165,"&lt;&gt;0")</f>
        <v>0</v>
      </c>
      <c r="BH160" s="1391">
        <f t="shared" ref="BH160" si="67">SUMIF(BH161:BH165,"&lt;&gt;0")</f>
        <v>0</v>
      </c>
      <c r="BI160" s="1391">
        <f t="shared" ref="BI160" si="68">SUMIF(BI161:BI165,"&lt;&gt;0")</f>
        <v>0</v>
      </c>
      <c r="BJ160" s="1391">
        <f t="shared" ref="BJ160:BK160" si="69">SUMIF(BJ161:BJ165,"&lt;&gt;0")</f>
        <v>0</v>
      </c>
      <c r="BK160" s="1391">
        <f t="shared" si="69"/>
        <v>0</v>
      </c>
      <c r="BL160" s="1391">
        <f t="shared" ref="BL160" si="70">SUMIF(BL161:BL165,"&lt;&gt;0")</f>
        <v>0</v>
      </c>
      <c r="BM160" s="1392">
        <f t="shared" ref="BM160" si="71">SUMIF(BM161:BM165,"&lt;&gt;0")</f>
        <v>0</v>
      </c>
      <c r="BN160" s="1391">
        <f>SUMIF(BN161:BN165,"&lt;&gt;0")</f>
        <v>0</v>
      </c>
      <c r="BO160" s="1391">
        <f>SUMIF(BO161:BO165,"&lt;&gt;0")</f>
        <v>0</v>
      </c>
      <c r="BP160" s="527"/>
      <c r="BQ160" s="527"/>
      <c r="BR160" s="527"/>
      <c r="BS160" s="527"/>
      <c r="BT160" s="527"/>
      <c r="BU160" s="527"/>
      <c r="BV160" s="527"/>
      <c r="BW160" s="527"/>
      <c r="BX160" s="527"/>
      <c r="BY160" s="527"/>
      <c r="BZ160" s="527"/>
      <c r="CA160" s="528"/>
      <c r="CB160" s="528"/>
      <c r="CC160" s="528"/>
      <c r="CD160" s="529"/>
      <c r="CE160" s="529"/>
      <c r="CF160" s="529"/>
      <c r="CG160" s="530"/>
      <c r="CH160" s="531"/>
      <c r="CI160" s="532"/>
      <c r="CJ160" s="528"/>
      <c r="CK160" s="528"/>
      <c r="CL160" s="413"/>
      <c r="CM160" s="413"/>
      <c r="CN160" s="413"/>
      <c r="CO160" s="413"/>
      <c r="CP160" s="413"/>
      <c r="CQ160" s="413"/>
    </row>
    <row r="161" spans="3:95" ht="15" customHeight="1" x14ac:dyDescent="0.3">
      <c r="C161" s="1717" t="s">
        <v>176</v>
      </c>
      <c r="D161" s="1717"/>
      <c r="E161" s="1393"/>
      <c r="F161" s="1393" cm="1">
        <f t="array" ref="F161">IFERROR(IF(COUNTIFS($C$48:$C$147,$C161)&gt;0,SUMPRODUCT(('Rates &amp; Drop Downs INT'!$BS$7:$BS$79=F$166)*('Rates &amp; Drop Downs INT'!$BM$7:$BM$79=$C161)*('Rates &amp; Drop Downs INT'!$BR$7:$BR$79)),0),"")</f>
        <v>0</v>
      </c>
      <c r="G161" s="1393" cm="1">
        <f t="array" ref="G161">IFERROR(IF(COUNTIFS($C$48:$C$147,$C161)&gt;0,SUMPRODUCT(('Rates &amp; Drop Downs INT'!$BS$7:$BS$79=G$166)*('Rates &amp; Drop Downs INT'!$BM$7:$BM$79=$C161)*('Rates &amp; Drop Downs INT'!$BR$7:$BR$79)),0),"")</f>
        <v>0</v>
      </c>
      <c r="H161" s="1393" cm="1">
        <f t="array" ref="H161">IFERROR(IF(COUNTIFS($C$48:$C$147,$C161)&gt;0,SUMPRODUCT(('Rates &amp; Drop Downs INT'!$BS$7:$BS$79=H$166)*('Rates &amp; Drop Downs INT'!$BM$7:$BM$79=$C161)*('Rates &amp; Drop Downs INT'!$BR$7:$BR$79)),0),"")</f>
        <v>0</v>
      </c>
      <c r="I161" s="1393" cm="1">
        <f t="array" ref="I161">IFERROR(IF(COUNTIFS($C$48:$C$147,$C161)&gt;0,SUMPRODUCT(('Rates &amp; Drop Downs INT'!$BS$7:$BS$79=I$166)*('Rates &amp; Drop Downs INT'!$BM$7:$BM$79=$C161)*('Rates &amp; Drop Downs INT'!$BR$7:$BR$79)),0),"")</f>
        <v>0</v>
      </c>
      <c r="J161" s="1393" cm="1">
        <f t="array" ref="J161">IFERROR(IF(COUNTIFS($C$48:$C$147,$C161)&gt;0,SUMPRODUCT(('Rates &amp; Drop Downs INT'!$BS$7:$BS$79=J$166)*('Rates &amp; Drop Downs INT'!$BM$7:$BM$79=$C161)*('Rates &amp; Drop Downs INT'!$BR$7:$BR$79)),0),"")</f>
        <v>0</v>
      </c>
      <c r="K161" s="1393" cm="1">
        <f t="array" ref="K161">IFERROR(IF(COUNTIFS($C$48:$C$147,$C161)&gt;0,SUMPRODUCT(('Rates &amp; Drop Downs INT'!$BS$7:$BS$79=K$166)*('Rates &amp; Drop Downs INT'!$BM$7:$BM$79=$C161)*('Rates &amp; Drop Downs INT'!$BR$7:$BR$79)),0),"")</f>
        <v>0</v>
      </c>
      <c r="L161" s="1393" cm="1">
        <f t="array" ref="L161">IFERROR(IF(COUNTIFS($C$48:$C$147,$C161)&gt;0,SUMPRODUCT(('Rates &amp; Drop Downs INT'!$BS$7:$BS$79=L$166)*('Rates &amp; Drop Downs INT'!$BM$7:$BM$79=$C161)*('Rates &amp; Drop Downs INT'!$BR$7:$BR$79)),0),"")</f>
        <v>0</v>
      </c>
      <c r="M161" s="1393" cm="1">
        <f t="array" ref="M161">IFERROR(IF(COUNTIFS($C$48:$C$147,$C161)&gt;0,SUMPRODUCT(('Rates &amp; Drop Downs INT'!$BS$7:$BS$79=M$166)*('Rates &amp; Drop Downs INT'!$BM$7:$BM$79=$C161)*('Rates &amp; Drop Downs INT'!$BR$7:$BR$79)),0),"")</f>
        <v>0</v>
      </c>
      <c r="N161" s="1393" cm="1">
        <f t="array" ref="N161">IFERROR(IF(COUNTIFS($C$48:$C$147,$C161)&gt;0,SUMPRODUCT(('Rates &amp; Drop Downs INT'!$BS$7:$BS$79=N$166)*('Rates &amp; Drop Downs INT'!$BM$7:$BM$79=$C161)*('Rates &amp; Drop Downs INT'!$BR$7:$BR$79)),0),"")</f>
        <v>0</v>
      </c>
      <c r="O161" s="1393" cm="1">
        <f t="array" ref="O161">IFERROR(IF(COUNTIFS($C$48:$C$147,$C161)&gt;0,SUMPRODUCT(('Rates &amp; Drop Downs INT'!$BS$7:$BS$79=O$166)*('Rates &amp; Drop Downs INT'!$BM$7:$BM$79=$C161)*('Rates &amp; Drop Downs INT'!$BR$7:$BR$79)),0),"")</f>
        <v>0</v>
      </c>
      <c r="P161" s="1393" cm="1">
        <f t="array" ref="P161">IFERROR(IF(COUNTIFS($C$48:$C$147,$C161)&gt;0,SUMPRODUCT(('Rates &amp; Drop Downs INT'!$BS$7:$BS$79=P$166)*('Rates &amp; Drop Downs INT'!$BM$7:$BM$79=$C161)*('Rates &amp; Drop Downs INT'!$BR$7:$BR$79)),0),"")</f>
        <v>0</v>
      </c>
      <c r="Q161" s="1393" cm="1">
        <f t="array" ref="Q161">IFERROR(IF(COUNTIFS($C$48:$C$147,$C161)&gt;0,SUMPRODUCT(('Rates &amp; Drop Downs INT'!$BS$7:$BS$79=Q$166)*('Rates &amp; Drop Downs INT'!$BM$7:$BM$79=$C161)*('Rates &amp; Drop Downs INT'!$BR$7:$BR$79)),0),"")</f>
        <v>0</v>
      </c>
      <c r="R161" s="1393" cm="1">
        <f t="array" ref="R161">IFERROR(IF(COUNTIFS($C$48:$C$147,$C161)&gt;0,SUMPRODUCT(('Rates &amp; Drop Downs INT'!$BS$7:$BS$79=R$166)*('Rates &amp; Drop Downs INT'!$BM$7:$BM$79=$C161)*('Rates &amp; Drop Downs INT'!$BR$7:$BR$79)),0),"")</f>
        <v>0</v>
      </c>
      <c r="S161" s="1393" cm="1">
        <f t="array" ref="S161">IFERROR(IF(COUNTIFS($C$48:$C$147,$C161)&gt;0,SUMPRODUCT(('Rates &amp; Drop Downs INT'!$BS$7:$BS$79=S$166)*('Rates &amp; Drop Downs INT'!$BM$7:$BM$79=$C161)*('Rates &amp; Drop Downs INT'!$BR$7:$BR$79)),0),"")</f>
        <v>0</v>
      </c>
      <c r="T161" s="1393" cm="1">
        <f t="array" ref="T161">IFERROR(IF(COUNTIFS($C$48:$C$147,$C161)&gt;0,SUMPRODUCT(('Rates &amp; Drop Downs INT'!$BS$7:$BS$79=T$166)*('Rates &amp; Drop Downs INT'!$BM$7:$BM$79=$C161)*('Rates &amp; Drop Downs INT'!$BR$7:$BR$79)),0),"")</f>
        <v>0</v>
      </c>
      <c r="U161" s="1393" cm="1">
        <f t="array" ref="U161">IFERROR(IF(COUNTIFS($C$48:$C$147,$C161)&gt;0,SUMPRODUCT(('Rates &amp; Drop Downs INT'!$BS$7:$BS$79=U$166)*('Rates &amp; Drop Downs INT'!$BM$7:$BM$79=$C161)*('Rates &amp; Drop Downs INT'!$BR$7:$BR$79)),0),"")</f>
        <v>0</v>
      </c>
      <c r="V161" s="1393" cm="1">
        <f t="array" ref="V161">IFERROR(IF(COUNTIFS($C$48:$C$147,$C161)&gt;0,SUMPRODUCT(('Rates &amp; Drop Downs INT'!$BS$7:$BS$79=V$166)*('Rates &amp; Drop Downs INT'!$BM$7:$BM$79=$C161)*('Rates &amp; Drop Downs INT'!$BR$7:$BR$79)),0),"")</f>
        <v>0</v>
      </c>
      <c r="W161" s="1393" cm="1">
        <f t="array" ref="W161">IFERROR(IF(COUNTIFS($C$48:$C$147,$C161)&gt;0,SUMPRODUCT(('Rates &amp; Drop Downs INT'!$BS$7:$BS$79=W$166)*('Rates &amp; Drop Downs INT'!$BM$7:$BM$79=$C161)*('Rates &amp; Drop Downs INT'!$BR$7:$BR$79)),0),"")</f>
        <v>0</v>
      </c>
      <c r="X161" s="1393"/>
      <c r="Y161" s="1393" cm="1">
        <f t="array" ref="Y161">IFERROR(IF(COUNTIFS($C$48:$C$147,$C161)&gt;0,SUMPRODUCT(('Rates &amp; Drop Downs INT'!$BS$7:$BS$79=Y$166)*('Rates &amp; Drop Downs INT'!$BM$7:$BM$79=$C161)*('Rates &amp; Drop Downs INT'!$BR$7:$BR$79)),0),"")</f>
        <v>0</v>
      </c>
      <c r="Z161" s="1393" cm="1">
        <f t="array" ref="Z161">IFERROR(IF(COUNTIFS($C$48:$C$147,$C161)&gt;0,SUMPRODUCT(('Rates &amp; Drop Downs INT'!$BS$7:$BS$79=Z$166)*('Rates &amp; Drop Downs INT'!$BM$7:$BM$79=$C161)*('Rates &amp; Drop Downs INT'!$BR$7:$BR$79)),0),"")</f>
        <v>0</v>
      </c>
      <c r="AA161" s="1393" cm="1">
        <f t="array" ref="AA161">IFERROR(IF(COUNTIFS($C$48:$C$147,$C161)&gt;0,SUMPRODUCT(('Rates &amp; Drop Downs INT'!$BS$7:$BS$79=AA$166)*('Rates &amp; Drop Downs INT'!$BM$7:$BM$79=$C161)*('Rates &amp; Drop Downs INT'!$BR$7:$BR$79)),0),"")</f>
        <v>0</v>
      </c>
      <c r="AB161" s="1393" cm="1">
        <f t="array" ref="AB161">IFERROR(IF(COUNTIFS($C$48:$C$147,$C161)&gt;0,SUMPRODUCT(('Rates &amp; Drop Downs INT'!$BS$7:$BS$79=AB$166)*('Rates &amp; Drop Downs INT'!$BM$7:$BM$79=$C161)*('Rates &amp; Drop Downs INT'!$BR$7:$BR$79)),0),"")</f>
        <v>0</v>
      </c>
      <c r="AC161" s="1393"/>
      <c r="AD161" s="1393"/>
      <c r="AE161" s="1393"/>
      <c r="AF161" s="1393"/>
      <c r="AG161" s="1393" cm="1">
        <f t="array" ref="AG161">IFERROR(IF(COUNTIFS($C$48:$C$147,$C161)&gt;0,SUMPRODUCT(('Rates &amp; Drop Downs INT'!$BS$7:$BS$79=AG$166)*('Rates &amp; Drop Downs INT'!$BM$7:$BM$79=$C161)*('Rates &amp; Drop Downs INT'!$BR$7:$BR$79)),0),"")</f>
        <v>0</v>
      </c>
      <c r="AH161" s="1393" cm="1">
        <f t="array" ref="AH161">IFERROR(IF(COUNTIFS($C$48:$C$147,$C161)&gt;0,SUMPRODUCT(('Rates &amp; Drop Downs INT'!$BS$7:$BS$79=AH$166)*('Rates &amp; Drop Downs INT'!$BM$7:$BM$79=$C161)*('Rates &amp; Drop Downs INT'!$BR$7:$BR$79)),0),"")</f>
        <v>0</v>
      </c>
      <c r="AI161" s="1393" cm="1">
        <f t="array" ref="AI161">IFERROR(IF(COUNTIFS($C$48:$C$147,$C161)&gt;0,SUMPRODUCT(('Rates &amp; Drop Downs INT'!$BS$7:$BS$79=AI$166)*('Rates &amp; Drop Downs INT'!$BM$7:$BM$79=$C161)*('Rates &amp; Drop Downs INT'!$BR$7:$BR$79)),0),"")</f>
        <v>0</v>
      </c>
      <c r="AJ161" s="1393" cm="1">
        <f t="array" ref="AJ161">IFERROR(IF(COUNTIFS($C$48:$C$147,$C161)&gt;0,SUMPRODUCT(('Rates &amp; Drop Downs INT'!$BS$7:$BS$79=AJ$166)*('Rates &amp; Drop Downs INT'!$BM$7:$BM$79=$C161)*('Rates &amp; Drop Downs INT'!$BR$7:$BR$79)),0),"")</f>
        <v>0</v>
      </c>
      <c r="AK161" s="1393" cm="1">
        <f t="array" ref="AK161">IFERROR(IF(COUNTIFS($C$48:$C$147,$C161)&gt;0,SUMPRODUCT(('Rates &amp; Drop Downs INT'!$BS$7:$BS$79=AK$166)*('Rates &amp; Drop Downs INT'!$BM$7:$BM$79=$C161)*('Rates &amp; Drop Downs INT'!$BR$7:$BR$79)),0),"")</f>
        <v>0</v>
      </c>
      <c r="AL161" s="1393" cm="1">
        <f t="array" ref="AL161">IFERROR(IF(COUNTIFS($C$48:$C$147,$C161)&gt;0,SUMPRODUCT(('Rates &amp; Drop Downs INT'!$BS$7:$BS$79=AL$166)*('Rates &amp; Drop Downs INT'!$BM$7:$BM$79=$C161)*('Rates &amp; Drop Downs INT'!$BR$7:$BR$79)),0),"")</f>
        <v>0</v>
      </c>
      <c r="AM161" s="1393" cm="1">
        <f t="array" ref="AM161">IFERROR(IF(COUNTIFS($C$48:$C$147,$C161)&gt;0,SUMPRODUCT(('Rates &amp; Drop Downs INT'!$BS$7:$BS$79=AM$166)*('Rates &amp; Drop Downs INT'!$BM$7:$BM$79=$C161)*('Rates &amp; Drop Downs INT'!$BR$7:$BR$79)),0),"")</f>
        <v>0</v>
      </c>
      <c r="AN161" s="1393" cm="1">
        <f t="array" ref="AN161">IFERROR(IF(COUNTIFS($C$48:$C$147,$C161)&gt;0,SUMPRODUCT(('Rates &amp; Drop Downs INT'!$BS$7:$BS$79=AN$166)*('Rates &amp; Drop Downs INT'!$BM$7:$BM$79=$C161)*('Rates &amp; Drop Downs INT'!$BR$7:$BR$79)),0),"")</f>
        <v>0</v>
      </c>
      <c r="AO161" s="1393" cm="1">
        <f t="array" ref="AO161">IFERROR(IF(COUNTIFS($C$48:$C$147,$C161)&gt;0,SUMPRODUCT(('Rates &amp; Drop Downs INT'!$BS$7:$BS$79=AO$166)*('Rates &amp; Drop Downs INT'!$BM$7:$BM$79=$C161)*('Rates &amp; Drop Downs INT'!$BR$7:$BR$79)),0),"")</f>
        <v>0</v>
      </c>
      <c r="AP161" s="1393" cm="1">
        <f t="array" ref="AP161">IFERROR(IF(COUNTIFS($C$48:$C$147,$C161)&gt;0,SUMPRODUCT(('Rates &amp; Drop Downs INT'!$BS$7:$BS$79=AP$166)*('Rates &amp; Drop Downs INT'!$BM$7:$BM$79=$C161)*('Rates &amp; Drop Downs INT'!$BR$7:$BR$79)),0),"")</f>
        <v>0</v>
      </c>
      <c r="AQ161" s="1393" cm="1">
        <f t="array" ref="AQ161">IFERROR(IF(COUNTIFS($C$48:$C$147,$C161)&gt;0,SUMPRODUCT(('Rates &amp; Drop Downs INT'!$BS$7:$BS$79=AQ$166)*('Rates &amp; Drop Downs INT'!$BM$7:$BM$79=$C161)*('Rates &amp; Drop Downs INT'!$BR$7:$BR$79)),0),"")</f>
        <v>0</v>
      </c>
      <c r="AR161" s="1393" cm="1">
        <f t="array" ref="AR161">IFERROR(IF(COUNTIFS($C$48:$C$147,$C161)&gt;0,SUMPRODUCT(('Rates &amp; Drop Downs INT'!$BS$7:$BS$79=AR$166)*('Rates &amp; Drop Downs INT'!$BM$7:$BM$79=$C161)*('Rates &amp; Drop Downs INT'!$BR$7:$BR$79)),0),"")</f>
        <v>0</v>
      </c>
      <c r="AS161" s="1393" cm="1">
        <f t="array" ref="AS161">IFERROR(IF(COUNTIFS($C$48:$C$147,$C161)&gt;0,SUMPRODUCT(('Rates &amp; Drop Downs INT'!$BS$7:$BS$79=AS$166)*('Rates &amp; Drop Downs INT'!$BM$7:$BM$79=$C161)*('Rates &amp; Drop Downs INT'!$BR$7:$BR$79)),0),"")</f>
        <v>0</v>
      </c>
      <c r="AT161" s="1393" cm="1">
        <f t="array" ref="AT161">IFERROR(IF(COUNTIFS($C$48:$C$147,$C161)&gt;0,SUMPRODUCT(('Rates &amp; Drop Downs INT'!$BS$7:$BS$79=AT$166)*('Rates &amp; Drop Downs INT'!$BM$7:$BM$79=$C161)*('Rates &amp; Drop Downs INT'!$BR$7:$BR$79)),0),"")</f>
        <v>0</v>
      </c>
      <c r="AU161" s="1393" cm="1">
        <f t="array" ref="AU161">IFERROR(IF(COUNTIFS($C$48:$C$147,$C161)&gt;0,SUMPRODUCT(('Rates &amp; Drop Downs INT'!$BS$7:$BS$79=AU$166)*('Rates &amp; Drop Downs INT'!$BM$7:$BM$79=$C161)*('Rates &amp; Drop Downs INT'!$BR$7:$BR$79)),0),"")</f>
        <v>0</v>
      </c>
      <c r="AV161" s="1393" cm="1">
        <f t="array" ref="AV161">IFERROR(IF(COUNTIFS($C$48:$C$147,$C161)&gt;0,SUMPRODUCT(('Rates &amp; Drop Downs INT'!$BS$7:$BS$79=AV$166)*('Rates &amp; Drop Downs INT'!$BM$7:$BM$79=$C161)*('Rates &amp; Drop Downs INT'!$BR$7:$BR$79)),0),"")</f>
        <v>0</v>
      </c>
      <c r="AW161" s="1393" cm="1">
        <f t="array" ref="AW161">IFERROR(IF(COUNTIFS($C$48:$C$147,$C161)&gt;0,SUMPRODUCT(('Rates &amp; Drop Downs INT'!$BS$7:$BS$79=AW$166)*('Rates &amp; Drop Downs INT'!$BM$7:$BM$79=$C161)*('Rates &amp; Drop Downs INT'!$BR$7:$BR$79)),0),"")</f>
        <v>0</v>
      </c>
      <c r="AX161" s="1393" cm="1">
        <f t="array" ref="AX161">IFERROR(IF(COUNTIFS($C$48:$C$147,$C161)&gt;0,SUMPRODUCT(('Rates &amp; Drop Downs INT'!$BS$7:$BS$79=AX$166)*('Rates &amp; Drop Downs INT'!$BM$7:$BM$79=$C161)*('Rates &amp; Drop Downs INT'!$BR$7:$BR$79)),0),"")</f>
        <v>0</v>
      </c>
      <c r="AY161" s="1393" cm="1">
        <f t="array" ref="AY161">IFERROR(IF(COUNTIFS($C$48:$C$147,$C161)&gt;0,SUMPRODUCT(('Rates &amp; Drop Downs INT'!$BS$7:$BS$79=AY$166)*('Rates &amp; Drop Downs INT'!$BM$7:$BM$79=$C161)*('Rates &amp; Drop Downs INT'!$BR$7:$BR$79)),0),"")</f>
        <v>0</v>
      </c>
      <c r="AZ161" s="1393" cm="1">
        <f t="array" ref="AZ161">IFERROR(IF(COUNTIFS($C$48:$C$147,$C161)&gt;0,SUMPRODUCT(('Rates &amp; Drop Downs INT'!$BS$7:$BS$79=AZ$166)*('Rates &amp; Drop Downs INT'!$BM$7:$BM$79=$C161)*('Rates &amp; Drop Downs INT'!$BR$7:$BR$79)),0),"")</f>
        <v>0</v>
      </c>
      <c r="BA161" s="1393" cm="1">
        <f t="array" ref="BA161">IFERROR(IF(COUNTIFS($C$48:$C$147,$C161)&gt;0,SUMPRODUCT(('Rates &amp; Drop Downs INT'!$BS$7:$BS$79=BA$166)*('Rates &amp; Drop Downs INT'!$BM$7:$BM$79=$C161)*('Rates &amp; Drop Downs INT'!$BR$7:$BR$79)),0),"")</f>
        <v>0</v>
      </c>
      <c r="BB161" s="1393" cm="1">
        <f t="array" ref="BB161">IFERROR(IF(COUNTIFS($C$48:$C$147,$C161)&gt;0,SUMPRODUCT(('Rates &amp; Drop Downs INT'!$BS$7:$BS$79=BB$166)*('Rates &amp; Drop Downs INT'!$BM$7:$BM$79=$C161)*('Rates &amp; Drop Downs INT'!$BR$7:$BR$79)),0),"")</f>
        <v>0</v>
      </c>
      <c r="BC161" s="1393" cm="1">
        <f t="array" ref="BC161">IFERROR(IF(COUNTIFS($C$48:$C$147,$C161)&gt;0,SUMPRODUCT(('Rates &amp; Drop Downs INT'!$BS$7:$BS$79=BC$166)*('Rates &amp; Drop Downs INT'!$BM$7:$BM$79=$C161)*('Rates &amp; Drop Downs INT'!$BR$7:$BR$79)),0),"")</f>
        <v>0</v>
      </c>
      <c r="BD161" s="1393" cm="1">
        <f t="array" ref="BD161">IFERROR(IF(COUNTIFS($C$48:$C$147,$C161)&gt;0,SUMPRODUCT(('Rates &amp; Drop Downs INT'!$BS$7:$BS$79=BD$166)*('Rates &amp; Drop Downs INT'!$BM$7:$BM$79=$C161)*('Rates &amp; Drop Downs INT'!$BR$7:$BR$79)),0),"")</f>
        <v>0</v>
      </c>
      <c r="BE161" s="1393" cm="1">
        <f t="array" ref="BE161">IFERROR(IF(COUNTIFS($C$48:$C$147,$C161)&gt;0,SUMPRODUCT(('Rates &amp; Drop Downs INT'!$BS$7:$BS$79=BE$166)*('Rates &amp; Drop Downs INT'!$BM$7:$BM$79=$C161)*('Rates &amp; Drop Downs INT'!$BR$7:$BR$79)),0),"")</f>
        <v>0</v>
      </c>
      <c r="BF161" s="1393" cm="1">
        <f t="array" ref="BF161">IFERROR(IF(COUNTIFS($C$48:$C$147,$C161)&gt;0,SUMPRODUCT(('Rates &amp; Drop Downs INT'!$BS$7:$BS$79=BF$166)*('Rates &amp; Drop Downs INT'!$BM$7:$BM$79=$C161)*('Rates &amp; Drop Downs INT'!$BR$7:$BR$79)),0),"")</f>
        <v>0</v>
      </c>
      <c r="BG161" s="1393" cm="1">
        <f t="array" ref="BG161">IFERROR(IF(COUNTIFS($C$48:$C$147,$C161)&gt;0,SUMPRODUCT(('Rates &amp; Drop Downs INT'!$BS$7:$BS$79=BG$166)*('Rates &amp; Drop Downs INT'!$BM$7:$BM$79=$C161)*('Rates &amp; Drop Downs INT'!$BR$7:$BR$79)),0),"")</f>
        <v>0</v>
      </c>
      <c r="BH161" s="1393" cm="1">
        <f t="array" ref="BH161">IFERROR(IF(COUNTIFS($C$48:$C$147,$C161)&gt;0,SUMPRODUCT(('Rates &amp; Drop Downs INT'!$BS$7:$BS$79=BH$166)*('Rates &amp; Drop Downs INT'!$BM$7:$BM$79=$C161)*('Rates &amp; Drop Downs INT'!$BR$7:$BR$79)),0),"")</f>
        <v>0</v>
      </c>
      <c r="BI161" s="1393" cm="1">
        <f t="array" ref="BI161">IFERROR(IF(COUNTIFS($C$48:$C$147,$C161)&gt;0,SUMPRODUCT(('Rates &amp; Drop Downs INT'!$BS$7:$BS$79=BI$166)*('Rates &amp; Drop Downs INT'!$BM$7:$BM$79=$C161)*('Rates &amp; Drop Downs INT'!$BR$7:$BR$79)),0),"")</f>
        <v>0</v>
      </c>
      <c r="BJ161" s="1393" cm="1">
        <f t="array" ref="BJ161">IFERROR(IF(COUNTIFS($C$48:$C$147,$C161)&gt;0,SUMPRODUCT(('Rates &amp; Drop Downs INT'!$BS$7:$BS$79=BJ$166)*('Rates &amp; Drop Downs INT'!$BM$7:$BM$79=$C161)*('Rates &amp; Drop Downs INT'!$BR$7:$BR$79)),0),"")</f>
        <v>0</v>
      </c>
      <c r="BK161" s="1393" cm="1">
        <f t="array" ref="BK161">IFERROR(IF(COUNTIFS($C$48:$C$147,$C161)&gt;0,SUMPRODUCT(('Rates &amp; Drop Downs INT'!$BS$7:$BS$79=BK$166)*('Rates &amp; Drop Downs INT'!$BM$7:$BM$79=$C161)*('Rates &amp; Drop Downs INT'!$BR$7:$BR$79)),0),"")</f>
        <v>0</v>
      </c>
      <c r="BL161" s="1393" cm="1">
        <f t="array" ref="BL161">IFERROR(IF(COUNTIFS($C$48:$C$147,$C161)&gt;0,SUMPRODUCT(('Rates &amp; Drop Downs INT'!$BS$7:$BS$79=BL$166)*('Rates &amp; Drop Downs INT'!$BM$7:$BM$79=$C161)*('Rates &amp; Drop Downs INT'!$BR$7:$BR$79)),0),"")</f>
        <v>0</v>
      </c>
      <c r="BM161" s="1394" cm="1">
        <f t="array" ref="BM161">IFERROR(IF(COUNTIFS($C$48:$C$147,$C161)&gt;0,SUMPRODUCT(('Rates &amp; Drop Downs INT'!$BS$7:$BS$79=BM$166)*('Rates &amp; Drop Downs INT'!$BM$7:$BM$79=$C161)*('Rates &amp; Drop Downs INT'!$BR$7:$BR$79)),0),"")</f>
        <v>0</v>
      </c>
      <c r="BN161" s="1395" cm="1">
        <f t="array" ref="BN161">IFERROR(IF(COUNTIFS($C$48:$C$147,$C161)&gt;0,SUMPRODUCT(('Rates &amp; Drop Downs INT'!$BS$7:$BS$79=BN$166)*('Rates &amp; Drop Downs INT'!$BM$7:$BM$79=$C161)*('Rates &amp; Drop Downs INT'!$BR$7:$BR$79)),0),"")</f>
        <v>0</v>
      </c>
      <c r="BO161" s="1395" cm="1">
        <f t="array" ref="BO161">IFERROR(IF(COUNTIFS($C$48:$C$147,$C161)&gt;0,SUMPRODUCT(('Rates &amp; Drop Downs INT'!$BS$7:$BS$79=BO$166)*('Rates &amp; Drop Downs INT'!$BM$7:$BM$79=$C161)*('Rates &amp; Drop Downs INT'!$BR$7:$BR$79)),0),"")</f>
        <v>0</v>
      </c>
      <c r="BP161" s="527"/>
      <c r="BQ161" s="527"/>
      <c r="BR161" s="527"/>
      <c r="BS161" s="527"/>
      <c r="BT161" s="527"/>
      <c r="BU161" s="527"/>
      <c r="BV161" s="527"/>
      <c r="BW161" s="527"/>
      <c r="BX161" s="527"/>
      <c r="BY161" s="527"/>
      <c r="BZ161" s="527"/>
      <c r="CA161" s="528"/>
      <c r="CB161" s="528"/>
      <c r="CC161" s="528"/>
      <c r="CD161" s="529"/>
      <c r="CE161" s="529"/>
      <c r="CF161" s="529"/>
      <c r="CG161" s="530"/>
      <c r="CH161" s="531"/>
      <c r="CI161" s="532"/>
      <c r="CJ161" s="528"/>
      <c r="CK161" s="528"/>
      <c r="CL161" s="413"/>
      <c r="CM161" s="413"/>
      <c r="CN161" s="413"/>
      <c r="CO161" s="413"/>
      <c r="CP161" s="413"/>
      <c r="CQ161" s="413"/>
    </row>
    <row r="162" spans="3:95" ht="16" customHeight="1" x14ac:dyDescent="0.3">
      <c r="C162" s="1717" t="s">
        <v>257</v>
      </c>
      <c r="D162" s="1717"/>
      <c r="E162" s="1393"/>
      <c r="F162" s="1393" cm="1">
        <f t="array" ref="F162">IFERROR(IF(COUNTIFS($C$48:$C$147,$C162)&gt;0,SUMPRODUCT(('Rates &amp; Drop Downs INT'!$BS$7:$BS$79=F$166)*('Rates &amp; Drop Downs INT'!$BM$7:$BM$79=$C162)*('Rates &amp; Drop Downs INT'!$BR$7:$BR$79)),0),"")</f>
        <v>0</v>
      </c>
      <c r="G162" s="1393" cm="1">
        <f t="array" ref="G162">IFERROR(IF(COUNTIFS($C$48:$C$147,$C162)&gt;0,SUMPRODUCT(('Rates &amp; Drop Downs INT'!$BS$7:$BS$79=G$166)*('Rates &amp; Drop Downs INT'!$BM$7:$BM$79=$C162)*('Rates &amp; Drop Downs INT'!$BR$7:$BR$79)),0),"")</f>
        <v>0</v>
      </c>
      <c r="H162" s="1393" cm="1">
        <f t="array" ref="H162">IFERROR(IF(COUNTIFS($C$48:$C$147,$C162)&gt;0,SUMPRODUCT(('Rates &amp; Drop Downs INT'!$BS$7:$BS$79=H$166)*('Rates &amp; Drop Downs INT'!$BM$7:$BM$79=$C162)*('Rates &amp; Drop Downs INT'!$BR$7:$BR$79)),0),"")</f>
        <v>0</v>
      </c>
      <c r="I162" s="1393" cm="1">
        <f t="array" ref="I162">IFERROR(IF(COUNTIFS($C$48:$C$147,$C162)&gt;0,SUMPRODUCT(('Rates &amp; Drop Downs INT'!$BS$7:$BS$79=I$166)*('Rates &amp; Drop Downs INT'!$BM$7:$BM$79=$C162)*('Rates &amp; Drop Downs INT'!$BR$7:$BR$79)),0),"")</f>
        <v>0</v>
      </c>
      <c r="J162" s="1393" cm="1">
        <f t="array" ref="J162">IFERROR(IF(COUNTIFS($C$48:$C$147,$C162)&gt;0,SUMPRODUCT(('Rates &amp; Drop Downs INT'!$BS$7:$BS$79=J$166)*('Rates &amp; Drop Downs INT'!$BM$7:$BM$79=$C162)*('Rates &amp; Drop Downs INT'!$BR$7:$BR$79)),0),"")</f>
        <v>0</v>
      </c>
      <c r="K162" s="1393" cm="1">
        <f t="array" ref="K162">IFERROR(IF(COUNTIFS($C$48:$C$147,$C162)&gt;0,SUMPRODUCT(('Rates &amp; Drop Downs INT'!$BS$7:$BS$79=K$166)*('Rates &amp; Drop Downs INT'!$BM$7:$BM$79=$C162)*('Rates &amp; Drop Downs INT'!$BR$7:$BR$79)),0),"")</f>
        <v>0</v>
      </c>
      <c r="L162" s="1393" cm="1">
        <f t="array" ref="L162">IFERROR(IF(COUNTIFS($C$48:$C$147,$C162)&gt;0,SUMPRODUCT(('Rates &amp; Drop Downs INT'!$BS$7:$BS$79=L$166)*('Rates &amp; Drop Downs INT'!$BM$7:$BM$79=$C162)*('Rates &amp; Drop Downs INT'!$BR$7:$BR$79)),0),"")</f>
        <v>0</v>
      </c>
      <c r="M162" s="1393" cm="1">
        <f t="array" ref="M162">IFERROR(IF(COUNTIFS($C$48:$C$147,$C162)&gt;0,SUMPRODUCT(('Rates &amp; Drop Downs INT'!$BS$7:$BS$79=M$166)*('Rates &amp; Drop Downs INT'!$BM$7:$BM$79=$C162)*('Rates &amp; Drop Downs INT'!$BR$7:$BR$79)),0),"")</f>
        <v>0</v>
      </c>
      <c r="N162" s="1393" cm="1">
        <f t="array" ref="N162">IFERROR(IF(COUNTIFS($C$48:$C$147,$C162)&gt;0,SUMPRODUCT(('Rates &amp; Drop Downs INT'!$BS$7:$BS$79=N$166)*('Rates &amp; Drop Downs INT'!$BM$7:$BM$79=$C162)*('Rates &amp; Drop Downs INT'!$BR$7:$BR$79)),0),"")</f>
        <v>0</v>
      </c>
      <c r="O162" s="1393" cm="1">
        <f t="array" ref="O162">IFERROR(IF(COUNTIFS($C$48:$C$147,$C162)&gt;0,SUMPRODUCT(('Rates &amp; Drop Downs INT'!$BS$7:$BS$79=O$166)*('Rates &amp; Drop Downs INT'!$BM$7:$BM$79=$C162)*('Rates &amp; Drop Downs INT'!$BR$7:$BR$79)),0),"")</f>
        <v>0</v>
      </c>
      <c r="P162" s="1393" cm="1">
        <f t="array" ref="P162">IFERROR(IF(COUNTIFS($C$48:$C$147,$C162)&gt;0,SUMPRODUCT(('Rates &amp; Drop Downs INT'!$BS$7:$BS$79=P$166)*('Rates &amp; Drop Downs INT'!$BM$7:$BM$79=$C162)*('Rates &amp; Drop Downs INT'!$BR$7:$BR$79)),0),"")</f>
        <v>0</v>
      </c>
      <c r="Q162" s="1393" cm="1">
        <f t="array" ref="Q162">IFERROR(IF(COUNTIFS($C$48:$C$147,$C162)&gt;0,SUMPRODUCT(('Rates &amp; Drop Downs INT'!$BS$7:$BS$79=Q$166)*('Rates &amp; Drop Downs INT'!$BM$7:$BM$79=$C162)*('Rates &amp; Drop Downs INT'!$BR$7:$BR$79)),0),"")</f>
        <v>0</v>
      </c>
      <c r="R162" s="1393" cm="1">
        <f t="array" ref="R162">IFERROR(IF(COUNTIFS($C$48:$C$147,$C162)&gt;0,SUMPRODUCT(('Rates &amp; Drop Downs INT'!$BS$7:$BS$79=R$166)*('Rates &amp; Drop Downs INT'!$BM$7:$BM$79=$C162)*('Rates &amp; Drop Downs INT'!$BR$7:$BR$79)),0),"")</f>
        <v>0</v>
      </c>
      <c r="S162" s="1393" cm="1">
        <f t="array" ref="S162">IFERROR(IF(COUNTIFS($C$48:$C$147,$C162)&gt;0,SUMPRODUCT(('Rates &amp; Drop Downs INT'!$BS$7:$BS$79=S$166)*('Rates &amp; Drop Downs INT'!$BM$7:$BM$79=$C162)*('Rates &amp; Drop Downs INT'!$BR$7:$BR$79)),0),"")</f>
        <v>0</v>
      </c>
      <c r="T162" s="1393" cm="1">
        <f t="array" ref="T162">IFERROR(IF(COUNTIFS($C$48:$C$147,$C162)&gt;0,SUMPRODUCT(('Rates &amp; Drop Downs INT'!$BS$7:$BS$79=T$166)*('Rates &amp; Drop Downs INT'!$BM$7:$BM$79=$C162)*('Rates &amp; Drop Downs INT'!$BR$7:$BR$79)),0),"")</f>
        <v>0</v>
      </c>
      <c r="U162" s="1393" cm="1">
        <f t="array" ref="U162">IFERROR(IF(COUNTIFS($C$48:$C$147,$C162)&gt;0,SUMPRODUCT(('Rates &amp; Drop Downs INT'!$BS$7:$BS$79=U$166)*('Rates &amp; Drop Downs INT'!$BM$7:$BM$79=$C162)*('Rates &amp; Drop Downs INT'!$BR$7:$BR$79)),0),"")</f>
        <v>0</v>
      </c>
      <c r="V162" s="1393" cm="1">
        <f t="array" ref="V162">IFERROR(IF(COUNTIFS($C$48:$C$147,$C162)&gt;0,SUMPRODUCT(('Rates &amp; Drop Downs INT'!$BS$7:$BS$79=V$166)*('Rates &amp; Drop Downs INT'!$BM$7:$BM$79=$C162)*('Rates &amp; Drop Downs INT'!$BR$7:$BR$79)),0),"")</f>
        <v>0</v>
      </c>
      <c r="W162" s="1393" cm="1">
        <f t="array" ref="W162">IFERROR(IF(COUNTIFS($C$48:$C$147,$C162)&gt;0,SUMPRODUCT(('Rates &amp; Drop Downs INT'!$BS$7:$BS$79=W$166)*('Rates &amp; Drop Downs INT'!$BM$7:$BM$79=$C162)*('Rates &amp; Drop Downs INT'!$BR$7:$BR$79)),0),"")</f>
        <v>0</v>
      </c>
      <c r="X162" s="1393"/>
      <c r="Y162" s="1393" cm="1">
        <f t="array" ref="Y162">IFERROR(IF(COUNTIFS($C$48:$C$147,$C162)&gt;0,SUMPRODUCT(('Rates &amp; Drop Downs INT'!$BS$7:$BS$79=Y$166)*('Rates &amp; Drop Downs INT'!$BM$7:$BM$79=$C162)*('Rates &amp; Drop Downs INT'!$BR$7:$BR$79)),0),"")</f>
        <v>0</v>
      </c>
      <c r="Z162" s="1393" cm="1">
        <f t="array" ref="Z162">IFERROR(IF(COUNTIFS($C$48:$C$147,$C162)&gt;0,SUMPRODUCT(('Rates &amp; Drop Downs INT'!$BS$7:$BS$79=Z$166)*('Rates &amp; Drop Downs INT'!$BM$7:$BM$79=$C162)*('Rates &amp; Drop Downs INT'!$BR$7:$BR$79)),0),"")</f>
        <v>0</v>
      </c>
      <c r="AA162" s="1393" cm="1">
        <f t="array" ref="AA162">IFERROR(IF(COUNTIFS($C$48:$C$147,$C162)&gt;0,SUMPRODUCT(('Rates &amp; Drop Downs INT'!$BS$7:$BS$79=AA$166)*('Rates &amp; Drop Downs INT'!$BM$7:$BM$79=$C162)*('Rates &amp; Drop Downs INT'!$BR$7:$BR$79)),0),"")</f>
        <v>0</v>
      </c>
      <c r="AB162" s="1393" cm="1">
        <f t="array" ref="AB162">IFERROR(IF(COUNTIFS($C$48:$C$147,$C162)&gt;0,SUMPRODUCT(('Rates &amp; Drop Downs INT'!$BS$7:$BS$79=AB$166)*('Rates &amp; Drop Downs INT'!$BM$7:$BM$79=$C162)*('Rates &amp; Drop Downs INT'!$BR$7:$BR$79)),0),"")</f>
        <v>0</v>
      </c>
      <c r="AC162" s="1393"/>
      <c r="AD162" s="1393"/>
      <c r="AE162" s="1393"/>
      <c r="AF162" s="1393"/>
      <c r="AG162" s="1393" cm="1">
        <f t="array" ref="AG162">IFERROR(IF(COUNTIFS($C$48:$C$147,$C162)&gt;0,SUMPRODUCT(('Rates &amp; Drop Downs INT'!$BS$7:$BS$79=AG$166)*('Rates &amp; Drop Downs INT'!$BM$7:$BM$79=$C162)*('Rates &amp; Drop Downs INT'!$BR$7:$BR$79)),0),"")</f>
        <v>0</v>
      </c>
      <c r="AH162" s="1393" cm="1">
        <f t="array" ref="AH162">IFERROR(IF(COUNTIFS($C$48:$C$147,$C162)&gt;0,SUMPRODUCT(('Rates &amp; Drop Downs INT'!$BS$7:$BS$79=AH$166)*('Rates &amp; Drop Downs INT'!$BM$7:$BM$79=$C162)*('Rates &amp; Drop Downs INT'!$BR$7:$BR$79)),0),"")</f>
        <v>0</v>
      </c>
      <c r="AI162" s="1393" cm="1">
        <f t="array" ref="AI162">IFERROR(IF(COUNTIFS($C$48:$C$147,$C162)&gt;0,SUMPRODUCT(('Rates &amp; Drop Downs INT'!$BS$7:$BS$79=AI$166)*('Rates &amp; Drop Downs INT'!$BM$7:$BM$79=$C162)*('Rates &amp; Drop Downs INT'!$BR$7:$BR$79)),0),"")</f>
        <v>0</v>
      </c>
      <c r="AJ162" s="1393" cm="1">
        <f t="array" ref="AJ162">IFERROR(IF(COUNTIFS($C$48:$C$147,$C162)&gt;0,SUMPRODUCT(('Rates &amp; Drop Downs INT'!$BS$7:$BS$79=AJ$166)*('Rates &amp; Drop Downs INT'!$BM$7:$BM$79=$C162)*('Rates &amp; Drop Downs INT'!$BR$7:$BR$79)),0),"")</f>
        <v>0</v>
      </c>
      <c r="AK162" s="1393" cm="1">
        <f t="array" ref="AK162">IFERROR(IF(COUNTIFS($C$48:$C$147,$C162)&gt;0,SUMPRODUCT(('Rates &amp; Drop Downs INT'!$BS$7:$BS$79=AK$166)*('Rates &amp; Drop Downs INT'!$BM$7:$BM$79=$C162)*('Rates &amp; Drop Downs INT'!$BR$7:$BR$79)),0),"")</f>
        <v>0</v>
      </c>
      <c r="AL162" s="1393" cm="1">
        <f t="array" ref="AL162">IFERROR(IF(COUNTIFS($C$48:$C$147,$C162)&gt;0,SUMPRODUCT(('Rates &amp; Drop Downs INT'!$BS$7:$BS$79=AL$166)*('Rates &amp; Drop Downs INT'!$BM$7:$BM$79=$C162)*('Rates &amp; Drop Downs INT'!$BR$7:$BR$79)),0),"")</f>
        <v>0</v>
      </c>
      <c r="AM162" s="1393" cm="1">
        <f t="array" ref="AM162">IFERROR(IF(COUNTIFS($C$48:$C$147,$C162)&gt;0,SUMPRODUCT(('Rates &amp; Drop Downs INT'!$BS$7:$BS$79=AM$166)*('Rates &amp; Drop Downs INT'!$BM$7:$BM$79=$C162)*('Rates &amp; Drop Downs INT'!$BR$7:$BR$79)),0),"")</f>
        <v>0</v>
      </c>
      <c r="AN162" s="1393" cm="1">
        <f t="array" ref="AN162">IFERROR(IF(COUNTIFS($C$48:$C$147,$C162)&gt;0,SUMPRODUCT(('Rates &amp; Drop Downs INT'!$BS$7:$BS$79=AN$166)*('Rates &amp; Drop Downs INT'!$BM$7:$BM$79=$C162)*('Rates &amp; Drop Downs INT'!$BR$7:$BR$79)),0),"")</f>
        <v>0</v>
      </c>
      <c r="AO162" s="1393" cm="1">
        <f t="array" ref="AO162">IFERROR(IF(COUNTIFS($C$48:$C$147,$C162)&gt;0,SUMPRODUCT(('Rates &amp; Drop Downs INT'!$BS$7:$BS$79=AO$166)*('Rates &amp; Drop Downs INT'!$BM$7:$BM$79=$C162)*('Rates &amp; Drop Downs INT'!$BR$7:$BR$79)),0),"")</f>
        <v>0</v>
      </c>
      <c r="AP162" s="1393" cm="1">
        <f t="array" ref="AP162">IFERROR(IF(COUNTIFS($C$48:$C$147,$C162)&gt;0,SUMPRODUCT(('Rates &amp; Drop Downs INT'!$BS$7:$BS$79=AP$166)*('Rates &amp; Drop Downs INT'!$BM$7:$BM$79=$C162)*('Rates &amp; Drop Downs INT'!$BR$7:$BR$79)),0),"")</f>
        <v>0</v>
      </c>
      <c r="AQ162" s="1393" cm="1">
        <f t="array" ref="AQ162">IFERROR(IF(COUNTIFS($C$48:$C$147,$C162)&gt;0,SUMPRODUCT(('Rates &amp; Drop Downs INT'!$BS$7:$BS$79=AQ$166)*('Rates &amp; Drop Downs INT'!$BM$7:$BM$79=$C162)*('Rates &amp; Drop Downs INT'!$BR$7:$BR$79)),0),"")</f>
        <v>0</v>
      </c>
      <c r="AR162" s="1393" cm="1">
        <f t="array" ref="AR162">IFERROR(IF(COUNTIFS($C$48:$C$147,$C162)&gt;0,SUMPRODUCT(('Rates &amp; Drop Downs INT'!$BS$7:$BS$79=AR$166)*('Rates &amp; Drop Downs INT'!$BM$7:$BM$79=$C162)*('Rates &amp; Drop Downs INT'!$BR$7:$BR$79)),0),"")</f>
        <v>0</v>
      </c>
      <c r="AS162" s="1393" cm="1">
        <f t="array" ref="AS162">IFERROR(IF(COUNTIFS($C$48:$C$147,$C162)&gt;0,SUMPRODUCT(('Rates &amp; Drop Downs INT'!$BS$7:$BS$79=AS$166)*('Rates &amp; Drop Downs INT'!$BM$7:$BM$79=$C162)*('Rates &amp; Drop Downs INT'!$BR$7:$BR$79)),0),"")</f>
        <v>0</v>
      </c>
      <c r="AT162" s="1393" cm="1">
        <f t="array" ref="AT162">IFERROR(IF(COUNTIFS($C$48:$C$147,$C162)&gt;0,SUMPRODUCT(('Rates &amp; Drop Downs INT'!$BS$7:$BS$79=AT$166)*('Rates &amp; Drop Downs INT'!$BM$7:$BM$79=$C162)*('Rates &amp; Drop Downs INT'!$BR$7:$BR$79)),0),"")</f>
        <v>0</v>
      </c>
      <c r="AU162" s="1393" cm="1">
        <f t="array" ref="AU162">IFERROR(IF(COUNTIFS($C$48:$C$147,$C162)&gt;0,SUMPRODUCT(('Rates &amp; Drop Downs INT'!$BS$7:$BS$79=AU$166)*('Rates &amp; Drop Downs INT'!$BM$7:$BM$79=$C162)*('Rates &amp; Drop Downs INT'!$BR$7:$BR$79)),0),"")</f>
        <v>0</v>
      </c>
      <c r="AV162" s="1393" cm="1">
        <f t="array" ref="AV162">IFERROR(IF(COUNTIFS($C$48:$C$147,$C162)&gt;0,SUMPRODUCT(('Rates &amp; Drop Downs INT'!$BS$7:$BS$79=AV$166)*('Rates &amp; Drop Downs INT'!$BM$7:$BM$79=$C162)*('Rates &amp; Drop Downs INT'!$BR$7:$BR$79)),0),"")</f>
        <v>0</v>
      </c>
      <c r="AW162" s="1393" cm="1">
        <f t="array" ref="AW162">IFERROR(IF(COUNTIFS($C$48:$C$147,$C162)&gt;0,SUMPRODUCT(('Rates &amp; Drop Downs INT'!$BS$7:$BS$79=AW$166)*('Rates &amp; Drop Downs INT'!$BM$7:$BM$79=$C162)*('Rates &amp; Drop Downs INT'!$BR$7:$BR$79)),0),"")</f>
        <v>0</v>
      </c>
      <c r="AX162" s="1393" cm="1">
        <f t="array" ref="AX162">IFERROR(IF(COUNTIFS($C$48:$C$147,$C162)&gt;0,SUMPRODUCT(('Rates &amp; Drop Downs INT'!$BS$7:$BS$79=AX$166)*('Rates &amp; Drop Downs INT'!$BM$7:$BM$79=$C162)*('Rates &amp; Drop Downs INT'!$BR$7:$BR$79)),0),"")</f>
        <v>0</v>
      </c>
      <c r="AY162" s="1393" cm="1">
        <f t="array" ref="AY162">IFERROR(IF(COUNTIFS($C$48:$C$147,$C162)&gt;0,SUMPRODUCT(('Rates &amp; Drop Downs INT'!$BS$7:$BS$79=AY$166)*('Rates &amp; Drop Downs INT'!$BM$7:$BM$79=$C162)*('Rates &amp; Drop Downs INT'!$BR$7:$BR$79)),0),"")</f>
        <v>0</v>
      </c>
      <c r="AZ162" s="1393" cm="1">
        <f t="array" ref="AZ162">IFERROR(IF(COUNTIFS($C$48:$C$147,$C162)&gt;0,SUMPRODUCT(('Rates &amp; Drop Downs INT'!$BS$7:$BS$79=AZ$166)*('Rates &amp; Drop Downs INT'!$BM$7:$BM$79=$C162)*('Rates &amp; Drop Downs INT'!$BR$7:$BR$79)),0),"")</f>
        <v>0</v>
      </c>
      <c r="BA162" s="1393" cm="1">
        <f t="array" ref="BA162">IFERROR(IF(COUNTIFS($C$48:$C$147,$C162)&gt;0,SUMPRODUCT(('Rates &amp; Drop Downs INT'!$BS$7:$BS$79=BA$166)*('Rates &amp; Drop Downs INT'!$BM$7:$BM$79=$C162)*('Rates &amp; Drop Downs INT'!$BR$7:$BR$79)),0),"")</f>
        <v>0</v>
      </c>
      <c r="BB162" s="1393" cm="1">
        <f t="array" ref="BB162">IFERROR(IF(COUNTIFS($C$48:$C$147,$C162)&gt;0,SUMPRODUCT(('Rates &amp; Drop Downs INT'!$BS$7:$BS$79=BB$166)*('Rates &amp; Drop Downs INT'!$BM$7:$BM$79=$C162)*('Rates &amp; Drop Downs INT'!$BR$7:$BR$79)),0),"")</f>
        <v>0</v>
      </c>
      <c r="BC162" s="1393" cm="1">
        <f t="array" ref="BC162">IFERROR(IF(COUNTIFS($C$48:$C$147,$C162)&gt;0,SUMPRODUCT(('Rates &amp; Drop Downs INT'!$BS$7:$BS$79=BC$166)*('Rates &amp; Drop Downs INT'!$BM$7:$BM$79=$C162)*('Rates &amp; Drop Downs INT'!$BR$7:$BR$79)),0),"")</f>
        <v>0</v>
      </c>
      <c r="BD162" s="1393" cm="1">
        <f t="array" ref="BD162">IFERROR(IF(COUNTIFS($C$48:$C$147,$C162)&gt;0,SUMPRODUCT(('Rates &amp; Drop Downs INT'!$BS$7:$BS$79=BD$166)*('Rates &amp; Drop Downs INT'!$BM$7:$BM$79=$C162)*('Rates &amp; Drop Downs INT'!$BR$7:$BR$79)),0),"")</f>
        <v>0</v>
      </c>
      <c r="BE162" s="1393" cm="1">
        <f t="array" ref="BE162">IFERROR(IF(COUNTIFS($C$48:$C$147,$C162)&gt;0,SUMPRODUCT(('Rates &amp; Drop Downs INT'!$BS$7:$BS$79=BE$166)*('Rates &amp; Drop Downs INT'!$BM$7:$BM$79=$C162)*('Rates &amp; Drop Downs INT'!$BR$7:$BR$79)),0),"")</f>
        <v>0</v>
      </c>
      <c r="BF162" s="1393" cm="1">
        <f t="array" ref="BF162">IFERROR(IF(COUNTIFS($C$48:$C$147,$C162)&gt;0,SUMPRODUCT(('Rates &amp; Drop Downs INT'!$BS$7:$BS$79=BF$166)*('Rates &amp; Drop Downs INT'!$BM$7:$BM$79=$C162)*('Rates &amp; Drop Downs INT'!$BR$7:$BR$79)),0),"")</f>
        <v>0</v>
      </c>
      <c r="BG162" s="1393" cm="1">
        <f t="array" ref="BG162">IFERROR(IF(COUNTIFS($C$48:$C$147,$C162)&gt;0,SUMPRODUCT(('Rates &amp; Drop Downs INT'!$BS$7:$BS$79=BG$166)*('Rates &amp; Drop Downs INT'!$BM$7:$BM$79=$C162)*('Rates &amp; Drop Downs INT'!$BR$7:$BR$79)),0),"")</f>
        <v>0</v>
      </c>
      <c r="BH162" s="1393" cm="1">
        <f t="array" ref="BH162">IFERROR(IF(COUNTIFS($C$48:$C$147,$C162)&gt;0,SUMPRODUCT(('Rates &amp; Drop Downs INT'!$BS$7:$BS$79=BH$166)*('Rates &amp; Drop Downs INT'!$BM$7:$BM$79=$C162)*('Rates &amp; Drop Downs INT'!$BR$7:$BR$79)),0),"")</f>
        <v>0</v>
      </c>
      <c r="BI162" s="1393" cm="1">
        <f t="array" ref="BI162">IFERROR(IF(COUNTIFS($C$48:$C$147,$C162)&gt;0,SUMPRODUCT(('Rates &amp; Drop Downs INT'!$BS$7:$BS$79=BI$166)*('Rates &amp; Drop Downs INT'!$BM$7:$BM$79=$C162)*('Rates &amp; Drop Downs INT'!$BR$7:$BR$79)),0),"")</f>
        <v>0</v>
      </c>
      <c r="BJ162" s="1393" cm="1">
        <f t="array" ref="BJ162">IFERROR(IF(COUNTIFS($C$48:$C$147,$C162)&gt;0,SUMPRODUCT(('Rates &amp; Drop Downs INT'!$BS$7:$BS$79=BJ$166)*('Rates &amp; Drop Downs INT'!$BM$7:$BM$79=$C162)*('Rates &amp; Drop Downs INT'!$BR$7:$BR$79)),0),"")</f>
        <v>0</v>
      </c>
      <c r="BK162" s="1393" cm="1">
        <f t="array" ref="BK162">IFERROR(IF(COUNTIFS($C$48:$C$147,$C162)&gt;0,SUMPRODUCT(('Rates &amp; Drop Downs INT'!$BS$7:$BS$79=BK$166)*('Rates &amp; Drop Downs INT'!$BM$7:$BM$79=$C162)*('Rates &amp; Drop Downs INT'!$BR$7:$BR$79)),0),"")</f>
        <v>0</v>
      </c>
      <c r="BL162" s="1393" cm="1">
        <f t="array" ref="BL162">IFERROR(IF(COUNTIFS($C$48:$C$147,$C162)&gt;0,SUMPRODUCT(('Rates &amp; Drop Downs INT'!$BS$7:$BS$79=BL$166)*('Rates &amp; Drop Downs INT'!$BM$7:$BM$79=$C162)*('Rates &amp; Drop Downs INT'!$BR$7:$BR$79)),0),"")</f>
        <v>0</v>
      </c>
      <c r="BM162" s="1394" cm="1">
        <f t="array" ref="BM162">IFERROR(IF(COUNTIFS($C$48:$C$147,$C162)&gt;0,SUMPRODUCT(('Rates &amp; Drop Downs INT'!$BS$7:$BS$79=BM$166)*('Rates &amp; Drop Downs INT'!$BM$7:$BM$79=$C162)*('Rates &amp; Drop Downs INT'!$BR$7:$BR$79)),0),"")</f>
        <v>0</v>
      </c>
      <c r="BN162" s="1395" cm="1">
        <f t="array" ref="BN162">IFERROR(IF(COUNTIFS($C$48:$C$147,$C162)&gt;0,SUMPRODUCT(('Rates &amp; Drop Downs INT'!$BS$7:$BS$79=BN$166)*('Rates &amp; Drop Downs INT'!$BM$7:$BM$79=$C162)*('Rates &amp; Drop Downs INT'!$BR$7:$BR$79)),0),"")</f>
        <v>0</v>
      </c>
      <c r="BO162" s="1395" cm="1">
        <f t="array" ref="BO162">IFERROR(IF(COUNTIFS($C$48:$C$147,$C162)&gt;0,SUMPRODUCT(('Rates &amp; Drop Downs INT'!$BS$7:$BS$79=BO$166)*('Rates &amp; Drop Downs INT'!$BM$7:$BM$79=$C162)*('Rates &amp; Drop Downs INT'!$BR$7:$BR$79)),0),"")</f>
        <v>0</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ht="15" customHeight="1" x14ac:dyDescent="0.3">
      <c r="C163" s="1717" t="s">
        <v>269</v>
      </c>
      <c r="D163" s="1717"/>
      <c r="E163" s="1393"/>
      <c r="F163" s="1393" cm="1">
        <f t="array" ref="F163">IFERROR(IF(COUNTIFS($C$48:$C$147,$C163)&gt;0,SUMPRODUCT(('Rates &amp; Drop Downs INT'!$BS$7:$BS$79=F$166)*('Rates &amp; Drop Downs INT'!$BM$7:$BM$79=$C163)*('Rates &amp; Drop Downs INT'!$BR$7:$BR$79)),0),"")</f>
        <v>0</v>
      </c>
      <c r="G163" s="1393" cm="1">
        <f t="array" ref="G163">IFERROR(IF(COUNTIFS($C$48:$C$147,$C163)&gt;0,SUMPRODUCT(('Rates &amp; Drop Downs INT'!$BS$7:$BS$79=G$166)*('Rates &amp; Drop Downs INT'!$BM$7:$BM$79=$C163)*('Rates &amp; Drop Downs INT'!$BR$7:$BR$79)),0),"")</f>
        <v>0</v>
      </c>
      <c r="H163" s="1393" cm="1">
        <f t="array" ref="H163">IFERROR(IF(COUNTIFS($C$48:$C$147,$C163)&gt;0,SUMPRODUCT(('Rates &amp; Drop Downs INT'!$BS$7:$BS$79=H$166)*('Rates &amp; Drop Downs INT'!$BM$7:$BM$79=$C163)*('Rates &amp; Drop Downs INT'!$BR$7:$BR$79)),0),"")</f>
        <v>0</v>
      </c>
      <c r="I163" s="1393" cm="1">
        <f t="array" ref="I163">IFERROR(IF(COUNTIFS($C$48:$C$147,$C163)&gt;0,SUMPRODUCT(('Rates &amp; Drop Downs INT'!$BS$7:$BS$79=I$166)*('Rates &amp; Drop Downs INT'!$BM$7:$BM$79=$C163)*('Rates &amp; Drop Downs INT'!$BR$7:$BR$79)),0),"")</f>
        <v>0</v>
      </c>
      <c r="J163" s="1393" cm="1">
        <f t="array" ref="J163">IFERROR(IF(COUNTIFS($C$48:$C$147,$C163)&gt;0,SUMPRODUCT(('Rates &amp; Drop Downs INT'!$BS$7:$BS$79=J$166)*('Rates &amp; Drop Downs INT'!$BM$7:$BM$79=$C163)*('Rates &amp; Drop Downs INT'!$BR$7:$BR$79)),0),"")</f>
        <v>0</v>
      </c>
      <c r="K163" s="1393" cm="1">
        <f t="array" ref="K163">IFERROR(IF(COUNTIFS($C$48:$C$147,$C163)&gt;0,SUMPRODUCT(('Rates &amp; Drop Downs INT'!$BS$7:$BS$79=K$166)*('Rates &amp; Drop Downs INT'!$BM$7:$BM$79=$C163)*('Rates &amp; Drop Downs INT'!$BR$7:$BR$79)),0),"")</f>
        <v>0</v>
      </c>
      <c r="L163" s="1393" cm="1">
        <f t="array" ref="L163">IFERROR(IF(COUNTIFS($C$48:$C$147,$C163)&gt;0,SUMPRODUCT(('Rates &amp; Drop Downs INT'!$BS$7:$BS$79=L$166)*('Rates &amp; Drop Downs INT'!$BM$7:$BM$79=$C163)*('Rates &amp; Drop Downs INT'!$BR$7:$BR$79)),0),"")</f>
        <v>0</v>
      </c>
      <c r="M163" s="1393" cm="1">
        <f t="array" ref="M163">IFERROR(IF(COUNTIFS($C$48:$C$147,$C163)&gt;0,SUMPRODUCT(('Rates &amp; Drop Downs INT'!$BS$7:$BS$79=M$166)*('Rates &amp; Drop Downs INT'!$BM$7:$BM$79=$C163)*('Rates &amp; Drop Downs INT'!$BR$7:$BR$79)),0),"")</f>
        <v>0</v>
      </c>
      <c r="N163" s="1393" cm="1">
        <f t="array" ref="N163">IFERROR(IF(COUNTIFS($C$48:$C$147,$C163)&gt;0,SUMPRODUCT(('Rates &amp; Drop Downs INT'!$BS$7:$BS$79=N$166)*('Rates &amp; Drop Downs INT'!$BM$7:$BM$79=$C163)*('Rates &amp; Drop Downs INT'!$BR$7:$BR$79)),0),"")</f>
        <v>0</v>
      </c>
      <c r="O163" s="1393" cm="1">
        <f t="array" ref="O163">IFERROR(IF(COUNTIFS($C$48:$C$147,$C163)&gt;0,SUMPRODUCT(('Rates &amp; Drop Downs INT'!$BS$7:$BS$79=O$166)*('Rates &amp; Drop Downs INT'!$BM$7:$BM$79=$C163)*('Rates &amp; Drop Downs INT'!$BR$7:$BR$79)),0),"")</f>
        <v>0</v>
      </c>
      <c r="P163" s="1393" cm="1">
        <f t="array" ref="P163">IFERROR(IF(COUNTIFS($C$48:$C$147,$C163)&gt;0,SUMPRODUCT(('Rates &amp; Drop Downs INT'!$BS$7:$BS$79=P$166)*('Rates &amp; Drop Downs INT'!$BM$7:$BM$79=$C163)*('Rates &amp; Drop Downs INT'!$BR$7:$BR$79)),0),"")</f>
        <v>0</v>
      </c>
      <c r="Q163" s="1393" cm="1">
        <f t="array" ref="Q163">IFERROR(IF(COUNTIFS($C$48:$C$147,$C163)&gt;0,SUMPRODUCT(('Rates &amp; Drop Downs INT'!$BS$7:$BS$79=Q$166)*('Rates &amp; Drop Downs INT'!$BM$7:$BM$79=$C163)*('Rates &amp; Drop Downs INT'!$BR$7:$BR$79)),0),"")</f>
        <v>0</v>
      </c>
      <c r="R163" s="1393" cm="1">
        <f t="array" ref="R163">IFERROR(IF(COUNTIFS($C$48:$C$147,$C163)&gt;0,SUMPRODUCT(('Rates &amp; Drop Downs INT'!$BS$7:$BS$79=R$166)*('Rates &amp; Drop Downs INT'!$BM$7:$BM$79=$C163)*('Rates &amp; Drop Downs INT'!$BR$7:$BR$79)),0),"")</f>
        <v>0</v>
      </c>
      <c r="S163" s="1393" cm="1">
        <f t="array" ref="S163">IFERROR(IF(COUNTIFS($C$48:$C$147,$C163)&gt;0,SUMPRODUCT(('Rates &amp; Drop Downs INT'!$BS$7:$BS$79=S$166)*('Rates &amp; Drop Downs INT'!$BM$7:$BM$79=$C163)*('Rates &amp; Drop Downs INT'!$BR$7:$BR$79)),0),"")</f>
        <v>0</v>
      </c>
      <c r="T163" s="1393" cm="1">
        <f t="array" ref="T163">IFERROR(IF(COUNTIFS($C$48:$C$147,$C163)&gt;0,SUMPRODUCT(('Rates &amp; Drop Downs INT'!$BS$7:$BS$79=T$166)*('Rates &amp; Drop Downs INT'!$BM$7:$BM$79=$C163)*('Rates &amp; Drop Downs INT'!$BR$7:$BR$79)),0),"")</f>
        <v>0</v>
      </c>
      <c r="U163" s="1393" cm="1">
        <f t="array" ref="U163">IFERROR(IF(COUNTIFS($C$48:$C$147,$C163)&gt;0,SUMPRODUCT(('Rates &amp; Drop Downs INT'!$BS$7:$BS$79=U$166)*('Rates &amp; Drop Downs INT'!$BM$7:$BM$79=$C163)*('Rates &amp; Drop Downs INT'!$BR$7:$BR$79)),0),"")</f>
        <v>0</v>
      </c>
      <c r="V163" s="1393" cm="1">
        <f t="array" ref="V163">IFERROR(IF(COUNTIFS($C$48:$C$147,$C163)&gt;0,SUMPRODUCT(('Rates &amp; Drop Downs INT'!$BS$7:$BS$79=V$166)*('Rates &amp; Drop Downs INT'!$BM$7:$BM$79=$C163)*('Rates &amp; Drop Downs INT'!$BR$7:$BR$79)),0),"")</f>
        <v>0</v>
      </c>
      <c r="W163" s="1393" cm="1">
        <f t="array" ref="W163">IFERROR(IF(COUNTIFS($C$48:$C$147,$C163)&gt;0,SUMPRODUCT(('Rates &amp; Drop Downs INT'!$BS$7:$BS$79=W$166)*('Rates &amp; Drop Downs INT'!$BM$7:$BM$79=$C163)*('Rates &amp; Drop Downs INT'!$BR$7:$BR$79)),0),"")</f>
        <v>0</v>
      </c>
      <c r="X163" s="1393"/>
      <c r="Y163" s="1393" cm="1">
        <f t="array" ref="Y163">IFERROR(IF(COUNTIFS($C$48:$C$147,$C163)&gt;0,SUMPRODUCT(('Rates &amp; Drop Downs INT'!$BS$7:$BS$79=Y$166)*('Rates &amp; Drop Downs INT'!$BM$7:$BM$79=$C163)*('Rates &amp; Drop Downs INT'!$BR$7:$BR$79)),0),"")</f>
        <v>0</v>
      </c>
      <c r="Z163" s="1393" cm="1">
        <f t="array" ref="Z163">IFERROR(IF(COUNTIFS($C$48:$C$147,$C163)&gt;0,SUMPRODUCT(('Rates &amp; Drop Downs INT'!$BS$7:$BS$79=Z$166)*('Rates &amp; Drop Downs INT'!$BM$7:$BM$79=$C163)*('Rates &amp; Drop Downs INT'!$BR$7:$BR$79)),0),"")</f>
        <v>0</v>
      </c>
      <c r="AA163" s="1393" cm="1">
        <f t="array" ref="AA163">IFERROR(IF(COUNTIFS($C$48:$C$147,$C163)&gt;0,SUMPRODUCT(('Rates &amp; Drop Downs INT'!$BS$7:$BS$79=AA$166)*('Rates &amp; Drop Downs INT'!$BM$7:$BM$79=$C163)*('Rates &amp; Drop Downs INT'!$BR$7:$BR$79)),0),"")</f>
        <v>0</v>
      </c>
      <c r="AB163" s="1393" cm="1">
        <f t="array" ref="AB163">IFERROR(IF(COUNTIFS($C$48:$C$147,$C163)&gt;0,SUMPRODUCT(('Rates &amp; Drop Downs INT'!$BS$7:$BS$79=AB$166)*('Rates &amp; Drop Downs INT'!$BM$7:$BM$79=$C163)*('Rates &amp; Drop Downs INT'!$BR$7:$BR$79)),0),"")</f>
        <v>0</v>
      </c>
      <c r="AC163" s="1393"/>
      <c r="AD163" s="1393"/>
      <c r="AE163" s="1393"/>
      <c r="AF163" s="1393"/>
      <c r="AG163" s="1393" cm="1">
        <f t="array" ref="AG163">IFERROR(IF(COUNTIFS($C$48:$C$147,$C163)&gt;0,SUMPRODUCT(('Rates &amp; Drop Downs INT'!$BS$7:$BS$79=AG$166)*('Rates &amp; Drop Downs INT'!$BM$7:$BM$79=$C163)*('Rates &amp; Drop Downs INT'!$BR$7:$BR$79)),0),"")</f>
        <v>0</v>
      </c>
      <c r="AH163" s="1393" cm="1">
        <f t="array" ref="AH163">IFERROR(IF(COUNTIFS($C$48:$C$147,$C163)&gt;0,SUMPRODUCT(('Rates &amp; Drop Downs INT'!$BS$7:$BS$79=AH$166)*('Rates &amp; Drop Downs INT'!$BM$7:$BM$79=$C163)*('Rates &amp; Drop Downs INT'!$BR$7:$BR$79)),0),"")</f>
        <v>0</v>
      </c>
      <c r="AI163" s="1393" cm="1">
        <f t="array" ref="AI163">IFERROR(IF(COUNTIFS($C$48:$C$147,$C163)&gt;0,SUMPRODUCT(('Rates &amp; Drop Downs INT'!$BS$7:$BS$79=AI$166)*('Rates &amp; Drop Downs INT'!$BM$7:$BM$79=$C163)*('Rates &amp; Drop Downs INT'!$BR$7:$BR$79)),0),"")</f>
        <v>0</v>
      </c>
      <c r="AJ163" s="1393" cm="1">
        <f t="array" ref="AJ163">IFERROR(IF(COUNTIFS($C$48:$C$147,$C163)&gt;0,SUMPRODUCT(('Rates &amp; Drop Downs INT'!$BS$7:$BS$79=AJ$166)*('Rates &amp; Drop Downs INT'!$BM$7:$BM$79=$C163)*('Rates &amp; Drop Downs INT'!$BR$7:$BR$79)),0),"")</f>
        <v>0</v>
      </c>
      <c r="AK163" s="1393" cm="1">
        <f t="array" ref="AK163">IFERROR(IF(COUNTIFS($C$48:$C$147,$C163)&gt;0,SUMPRODUCT(('Rates &amp; Drop Downs INT'!$BS$7:$BS$79=AK$166)*('Rates &amp; Drop Downs INT'!$BM$7:$BM$79=$C163)*('Rates &amp; Drop Downs INT'!$BR$7:$BR$79)),0),"")</f>
        <v>0</v>
      </c>
      <c r="AL163" s="1393" cm="1">
        <f t="array" ref="AL163">IFERROR(IF(COUNTIFS($C$48:$C$147,$C163)&gt;0,SUMPRODUCT(('Rates &amp; Drop Downs INT'!$BS$7:$BS$79=AL$166)*('Rates &amp; Drop Downs INT'!$BM$7:$BM$79=$C163)*('Rates &amp; Drop Downs INT'!$BR$7:$BR$79)),0),"")</f>
        <v>0</v>
      </c>
      <c r="AM163" s="1393" cm="1">
        <f t="array" ref="AM163">IFERROR(IF(COUNTIFS($C$48:$C$147,$C163)&gt;0,SUMPRODUCT(('Rates &amp; Drop Downs INT'!$BS$7:$BS$79=AM$166)*('Rates &amp; Drop Downs INT'!$BM$7:$BM$79=$C163)*('Rates &amp; Drop Downs INT'!$BR$7:$BR$79)),0),"")</f>
        <v>0</v>
      </c>
      <c r="AN163" s="1393" cm="1">
        <f t="array" ref="AN163">IFERROR(IF(COUNTIFS($C$48:$C$147,$C163)&gt;0,SUMPRODUCT(('Rates &amp; Drop Downs INT'!$BS$7:$BS$79=AN$166)*('Rates &amp; Drop Downs INT'!$BM$7:$BM$79=$C163)*('Rates &amp; Drop Downs INT'!$BR$7:$BR$79)),0),"")</f>
        <v>0</v>
      </c>
      <c r="AO163" s="1393" cm="1">
        <f t="array" ref="AO163">IFERROR(IF(COUNTIFS($C$48:$C$147,$C163)&gt;0,SUMPRODUCT(('Rates &amp; Drop Downs INT'!$BS$7:$BS$79=AO$166)*('Rates &amp; Drop Downs INT'!$BM$7:$BM$79=$C163)*('Rates &amp; Drop Downs INT'!$BR$7:$BR$79)),0),"")</f>
        <v>0</v>
      </c>
      <c r="AP163" s="1393" cm="1">
        <f t="array" ref="AP163">IFERROR(IF(COUNTIFS($C$48:$C$147,$C163)&gt;0,SUMPRODUCT(('Rates &amp; Drop Downs INT'!$BS$7:$BS$79=AP$166)*('Rates &amp; Drop Downs INT'!$BM$7:$BM$79=$C163)*('Rates &amp; Drop Downs INT'!$BR$7:$BR$79)),0),"")</f>
        <v>0</v>
      </c>
      <c r="AQ163" s="1393" cm="1">
        <f t="array" ref="AQ163">IFERROR(IF(COUNTIFS($C$48:$C$147,$C163)&gt;0,SUMPRODUCT(('Rates &amp; Drop Downs INT'!$BS$7:$BS$79=AQ$166)*('Rates &amp; Drop Downs INT'!$BM$7:$BM$79=$C163)*('Rates &amp; Drop Downs INT'!$BR$7:$BR$79)),0),"")</f>
        <v>0</v>
      </c>
      <c r="AR163" s="1393" cm="1">
        <f t="array" ref="AR163">IFERROR(IF(COUNTIFS($C$48:$C$147,$C163)&gt;0,SUMPRODUCT(('Rates &amp; Drop Downs INT'!$BS$7:$BS$79=AR$166)*('Rates &amp; Drop Downs INT'!$BM$7:$BM$79=$C163)*('Rates &amp; Drop Downs INT'!$BR$7:$BR$79)),0),"")</f>
        <v>0</v>
      </c>
      <c r="AS163" s="1393" cm="1">
        <f t="array" ref="AS163">IFERROR(IF(COUNTIFS($C$48:$C$147,$C163)&gt;0,SUMPRODUCT(('Rates &amp; Drop Downs INT'!$BS$7:$BS$79=AS$166)*('Rates &amp; Drop Downs INT'!$BM$7:$BM$79=$C163)*('Rates &amp; Drop Downs INT'!$BR$7:$BR$79)),0),"")</f>
        <v>0</v>
      </c>
      <c r="AT163" s="1393" cm="1">
        <f t="array" ref="AT163">IFERROR(IF(COUNTIFS($C$48:$C$147,$C163)&gt;0,SUMPRODUCT(('Rates &amp; Drop Downs INT'!$BS$7:$BS$79=AT$166)*('Rates &amp; Drop Downs INT'!$BM$7:$BM$79=$C163)*('Rates &amp; Drop Downs INT'!$BR$7:$BR$79)),0),"")</f>
        <v>0</v>
      </c>
      <c r="AU163" s="1393" cm="1">
        <f t="array" ref="AU163">IFERROR(IF(COUNTIFS($C$48:$C$147,$C163)&gt;0,SUMPRODUCT(('Rates &amp; Drop Downs INT'!$BS$7:$BS$79=AU$166)*('Rates &amp; Drop Downs INT'!$BM$7:$BM$79=$C163)*('Rates &amp; Drop Downs INT'!$BR$7:$BR$79)),0),"")</f>
        <v>0</v>
      </c>
      <c r="AV163" s="1393" cm="1">
        <f t="array" ref="AV163">IFERROR(IF(COUNTIFS($C$48:$C$147,$C163)&gt;0,SUMPRODUCT(('Rates &amp; Drop Downs INT'!$BS$7:$BS$79=AV$166)*('Rates &amp; Drop Downs INT'!$BM$7:$BM$79=$C163)*('Rates &amp; Drop Downs INT'!$BR$7:$BR$79)),0),"")</f>
        <v>0</v>
      </c>
      <c r="AW163" s="1393" cm="1">
        <f t="array" ref="AW163">IFERROR(IF(COUNTIFS($C$48:$C$147,$C163)&gt;0,SUMPRODUCT(('Rates &amp; Drop Downs INT'!$BS$7:$BS$79=AW$166)*('Rates &amp; Drop Downs INT'!$BM$7:$BM$79=$C163)*('Rates &amp; Drop Downs INT'!$BR$7:$BR$79)),0),"")</f>
        <v>0</v>
      </c>
      <c r="AX163" s="1393" cm="1">
        <f t="array" ref="AX163">IFERROR(IF(COUNTIFS($C$48:$C$147,$C163)&gt;0,SUMPRODUCT(('Rates &amp; Drop Downs INT'!$BS$7:$BS$79=AX$166)*('Rates &amp; Drop Downs INT'!$BM$7:$BM$79=$C163)*('Rates &amp; Drop Downs INT'!$BR$7:$BR$79)),0),"")</f>
        <v>0</v>
      </c>
      <c r="AY163" s="1393" cm="1">
        <f t="array" ref="AY163">IFERROR(IF(COUNTIFS($C$48:$C$147,$C163)&gt;0,SUMPRODUCT(('Rates &amp; Drop Downs INT'!$BS$7:$BS$79=AY$166)*('Rates &amp; Drop Downs INT'!$BM$7:$BM$79=$C163)*('Rates &amp; Drop Downs INT'!$BR$7:$BR$79)),0),"")</f>
        <v>0</v>
      </c>
      <c r="AZ163" s="1393" cm="1">
        <f t="array" ref="AZ163">IFERROR(IF(COUNTIFS($C$48:$C$147,$C163)&gt;0,SUMPRODUCT(('Rates &amp; Drop Downs INT'!$BS$7:$BS$79=AZ$166)*('Rates &amp; Drop Downs INT'!$BM$7:$BM$79=$C163)*('Rates &amp; Drop Downs INT'!$BR$7:$BR$79)),0),"")</f>
        <v>0</v>
      </c>
      <c r="BA163" s="1393" cm="1">
        <f t="array" ref="BA163">IFERROR(IF(COUNTIFS($C$48:$C$147,$C163)&gt;0,SUMPRODUCT(('Rates &amp; Drop Downs INT'!$BS$7:$BS$79=BA$166)*('Rates &amp; Drop Downs INT'!$BM$7:$BM$79=$C163)*('Rates &amp; Drop Downs INT'!$BR$7:$BR$79)),0),"")</f>
        <v>0</v>
      </c>
      <c r="BB163" s="1393" cm="1">
        <f t="array" ref="BB163">IFERROR(IF(COUNTIFS($C$48:$C$147,$C163)&gt;0,SUMPRODUCT(('Rates &amp; Drop Downs INT'!$BS$7:$BS$79=BB$166)*('Rates &amp; Drop Downs INT'!$BM$7:$BM$79=$C163)*('Rates &amp; Drop Downs INT'!$BR$7:$BR$79)),0),"")</f>
        <v>0</v>
      </c>
      <c r="BC163" s="1393" cm="1">
        <f t="array" ref="BC163">IFERROR(IF(COUNTIFS($C$48:$C$147,$C163)&gt;0,SUMPRODUCT(('Rates &amp; Drop Downs INT'!$BS$7:$BS$79=BC$166)*('Rates &amp; Drop Downs INT'!$BM$7:$BM$79=$C163)*('Rates &amp; Drop Downs INT'!$BR$7:$BR$79)),0),"")</f>
        <v>0</v>
      </c>
      <c r="BD163" s="1393" cm="1">
        <f t="array" ref="BD163">IFERROR(IF(COUNTIFS($C$48:$C$147,$C163)&gt;0,SUMPRODUCT(('Rates &amp; Drop Downs INT'!$BS$7:$BS$79=BD$166)*('Rates &amp; Drop Downs INT'!$BM$7:$BM$79=$C163)*('Rates &amp; Drop Downs INT'!$BR$7:$BR$79)),0),"")</f>
        <v>0</v>
      </c>
      <c r="BE163" s="1393" cm="1">
        <f t="array" ref="BE163">IFERROR(IF(COUNTIFS($C$48:$C$147,$C163)&gt;0,SUMPRODUCT(('Rates &amp; Drop Downs INT'!$BS$7:$BS$79=BE$166)*('Rates &amp; Drop Downs INT'!$BM$7:$BM$79=$C163)*('Rates &amp; Drop Downs INT'!$BR$7:$BR$79)),0),"")</f>
        <v>0</v>
      </c>
      <c r="BF163" s="1393" cm="1">
        <f t="array" ref="BF163">IFERROR(IF(COUNTIFS($C$48:$C$147,$C163)&gt;0,SUMPRODUCT(('Rates &amp; Drop Downs INT'!$BS$7:$BS$79=BF$166)*('Rates &amp; Drop Downs INT'!$BM$7:$BM$79=$C163)*('Rates &amp; Drop Downs INT'!$BR$7:$BR$79)),0),"")</f>
        <v>0</v>
      </c>
      <c r="BG163" s="1393" cm="1">
        <f t="array" ref="BG163">IFERROR(IF(COUNTIFS($C$48:$C$147,$C163)&gt;0,SUMPRODUCT(('Rates &amp; Drop Downs INT'!$BS$7:$BS$79=BG$166)*('Rates &amp; Drop Downs INT'!$BM$7:$BM$79=$C163)*('Rates &amp; Drop Downs INT'!$BR$7:$BR$79)),0),"")</f>
        <v>0</v>
      </c>
      <c r="BH163" s="1393" cm="1">
        <f t="array" ref="BH163">IFERROR(IF(COUNTIFS($C$48:$C$147,$C163)&gt;0,SUMPRODUCT(('Rates &amp; Drop Downs INT'!$BS$7:$BS$79=BH$166)*('Rates &amp; Drop Downs INT'!$BM$7:$BM$79=$C163)*('Rates &amp; Drop Downs INT'!$BR$7:$BR$79)),0),"")</f>
        <v>0</v>
      </c>
      <c r="BI163" s="1393" cm="1">
        <f t="array" ref="BI163">IFERROR(IF(COUNTIFS($C$48:$C$147,$C163)&gt;0,SUMPRODUCT(('Rates &amp; Drop Downs INT'!$BS$7:$BS$79=BI$166)*('Rates &amp; Drop Downs INT'!$BM$7:$BM$79=$C163)*('Rates &amp; Drop Downs INT'!$BR$7:$BR$79)),0),"")</f>
        <v>0</v>
      </c>
      <c r="BJ163" s="1393" cm="1">
        <f t="array" ref="BJ163">IFERROR(IF(COUNTIFS($C$48:$C$147,$C163)&gt;0,SUMPRODUCT(('Rates &amp; Drop Downs INT'!$BS$7:$BS$79=BJ$166)*('Rates &amp; Drop Downs INT'!$BM$7:$BM$79=$C163)*('Rates &amp; Drop Downs INT'!$BR$7:$BR$79)),0),"")</f>
        <v>0</v>
      </c>
      <c r="BK163" s="1393" cm="1">
        <f t="array" ref="BK163">IFERROR(IF(COUNTIFS($C$48:$C$147,$C163)&gt;0,SUMPRODUCT(('Rates &amp; Drop Downs INT'!$BS$7:$BS$79=BK$166)*('Rates &amp; Drop Downs INT'!$BM$7:$BM$79=$C163)*('Rates &amp; Drop Downs INT'!$BR$7:$BR$79)),0),"")</f>
        <v>0</v>
      </c>
      <c r="BL163" s="1393" cm="1">
        <f t="array" ref="BL163">IFERROR(IF(COUNTIFS($C$48:$C$147,$C163)&gt;0,SUMPRODUCT(('Rates &amp; Drop Downs INT'!$BS$7:$BS$79=BL$166)*('Rates &amp; Drop Downs INT'!$BM$7:$BM$79=$C163)*('Rates &amp; Drop Downs INT'!$BR$7:$BR$79)),0),"")</f>
        <v>0</v>
      </c>
      <c r="BM163" s="1394" cm="1">
        <f t="array" ref="BM163">IFERROR(IF(COUNTIFS($C$48:$C$147,$C163)&gt;0,SUMPRODUCT(('Rates &amp; Drop Downs INT'!$BS$7:$BS$79=BM$166)*('Rates &amp; Drop Downs INT'!$BM$7:$BM$79=$C163)*('Rates &amp; Drop Downs INT'!$BR$7:$BR$79)),0),"")</f>
        <v>0</v>
      </c>
      <c r="BN163" s="1395" cm="1">
        <f t="array" ref="BN163">IFERROR(IF(COUNTIFS($C$48:$C$147,$C163)&gt;0,SUMPRODUCT(('Rates &amp; Drop Downs INT'!$BS$7:$BS$79=BN$166)*('Rates &amp; Drop Downs INT'!$BM$7:$BM$79=$C163)*('Rates &amp; Drop Downs INT'!$BR$7:$BR$79)),0),"")</f>
        <v>0</v>
      </c>
      <c r="BO163" s="1395" cm="1">
        <f t="array" ref="BO163">IFERROR(IF(COUNTIFS($C$48:$C$147,$C163)&gt;0,SUMPRODUCT(('Rates &amp; Drop Downs INT'!$BS$7:$BS$79=BO$166)*('Rates &amp; Drop Downs INT'!$BM$7:$BM$79=$C163)*('Rates &amp; Drop Downs INT'!$BR$7:$BR$79)),0),"")</f>
        <v>0</v>
      </c>
      <c r="BP163" s="413"/>
      <c r="BQ163" s="413"/>
      <c r="BR163" s="413"/>
      <c r="BS163" s="413"/>
      <c r="BT163" s="413"/>
      <c r="BU163" s="413"/>
      <c r="BV163" s="413"/>
      <c r="BW163" s="413"/>
      <c r="BX163" s="413"/>
      <c r="BY163" s="413"/>
      <c r="BZ163" s="413"/>
      <c r="CA163" s="413"/>
      <c r="CB163" s="413"/>
      <c r="CC163" s="413"/>
      <c r="CD163" s="413"/>
      <c r="CE163" s="413"/>
      <c r="CF163" s="413"/>
      <c r="CG163" s="413"/>
      <c r="CH163" s="413"/>
      <c r="CI163" s="413"/>
      <c r="CJ163" s="413"/>
      <c r="CK163" s="413"/>
      <c r="CL163" s="413"/>
      <c r="CM163" s="413"/>
      <c r="CN163" s="413"/>
      <c r="CO163" s="413"/>
      <c r="CP163" s="413"/>
      <c r="CQ163" s="413"/>
    </row>
    <row r="164" spans="3:95" ht="15" customHeight="1" x14ac:dyDescent="0.3">
      <c r="C164" s="1717" t="s">
        <v>283</v>
      </c>
      <c r="D164" s="1717"/>
      <c r="E164" s="1393"/>
      <c r="F164" s="1393" cm="1">
        <f t="array" ref="F164">IFERROR(IF(COUNTIFS($C$48:$C$147,$C164)&gt;0,SUMPRODUCT(('Rates &amp; Drop Downs INT'!$BS$7:$BS$79=F$166)*('Rates &amp; Drop Downs INT'!$BM$7:$BM$79=$C164)*('Rates &amp; Drop Downs INT'!$BR$7:$BR$79)),0),"")</f>
        <v>0</v>
      </c>
      <c r="G164" s="1393" cm="1">
        <f t="array" ref="G164">IFERROR(IF(COUNTIFS($C$48:$C$147,$C164)&gt;0,SUMPRODUCT(('Rates &amp; Drop Downs INT'!$BS$7:$BS$79=G$166)*('Rates &amp; Drop Downs INT'!$BM$7:$BM$79=$C164)*('Rates &amp; Drop Downs INT'!$BR$7:$BR$79)),0),"")</f>
        <v>0</v>
      </c>
      <c r="H164" s="1393" cm="1">
        <f t="array" ref="H164">IFERROR(IF(COUNTIFS($C$48:$C$147,$C164)&gt;0,SUMPRODUCT(('Rates &amp; Drop Downs INT'!$BS$7:$BS$79=H$166)*('Rates &amp; Drop Downs INT'!$BM$7:$BM$79=$C164)*('Rates &amp; Drop Downs INT'!$BR$7:$BR$79)),0),"")</f>
        <v>0</v>
      </c>
      <c r="I164" s="1393" cm="1">
        <f t="array" ref="I164">IFERROR(IF(COUNTIFS($C$48:$C$147,$C164)&gt;0,SUMPRODUCT(('Rates &amp; Drop Downs INT'!$BS$7:$BS$79=I$166)*('Rates &amp; Drop Downs INT'!$BM$7:$BM$79=$C164)*('Rates &amp; Drop Downs INT'!$BR$7:$BR$79)),0),"")</f>
        <v>0</v>
      </c>
      <c r="J164" s="1393" cm="1">
        <f t="array" ref="J164">IFERROR(IF(COUNTIFS($C$48:$C$147,$C164)&gt;0,SUMPRODUCT(('Rates &amp; Drop Downs INT'!$BS$7:$BS$79=J$166)*('Rates &amp; Drop Downs INT'!$BM$7:$BM$79=$C164)*('Rates &amp; Drop Downs INT'!$BR$7:$BR$79)),0),"")</f>
        <v>0</v>
      </c>
      <c r="K164" s="1393" cm="1">
        <f t="array" ref="K164">IFERROR(IF(COUNTIFS($C$48:$C$147,$C164)&gt;0,SUMPRODUCT(('Rates &amp; Drop Downs INT'!$BS$7:$BS$79=K$166)*('Rates &amp; Drop Downs INT'!$BM$7:$BM$79=$C164)*('Rates &amp; Drop Downs INT'!$BR$7:$BR$79)),0),"")</f>
        <v>0</v>
      </c>
      <c r="L164" s="1393" cm="1">
        <f t="array" ref="L164">IFERROR(IF(COUNTIFS($C$48:$C$147,$C164)&gt;0,SUMPRODUCT(('Rates &amp; Drop Downs INT'!$BS$7:$BS$79=L$166)*('Rates &amp; Drop Downs INT'!$BM$7:$BM$79=$C164)*('Rates &amp; Drop Downs INT'!$BR$7:$BR$79)),0),"")</f>
        <v>0</v>
      </c>
      <c r="M164" s="1393" cm="1">
        <f t="array" ref="M164">IFERROR(IF(COUNTIFS($C$48:$C$147,$C164)&gt;0,SUMPRODUCT(('Rates &amp; Drop Downs INT'!$BS$7:$BS$79=M$166)*('Rates &amp; Drop Downs INT'!$BM$7:$BM$79=$C164)*('Rates &amp; Drop Downs INT'!$BR$7:$BR$79)),0),"")</f>
        <v>0</v>
      </c>
      <c r="N164" s="1393" cm="1">
        <f t="array" ref="N164">IFERROR(IF(COUNTIFS($C$48:$C$147,$C164)&gt;0,SUMPRODUCT(('Rates &amp; Drop Downs INT'!$BS$7:$BS$79=N$166)*('Rates &amp; Drop Downs INT'!$BM$7:$BM$79=$C164)*('Rates &amp; Drop Downs INT'!$BR$7:$BR$79)),0),"")</f>
        <v>0</v>
      </c>
      <c r="O164" s="1393" cm="1">
        <f t="array" ref="O164">IFERROR(IF(COUNTIFS($C$48:$C$147,$C164)&gt;0,SUMPRODUCT(('Rates &amp; Drop Downs INT'!$BS$7:$BS$79=O$166)*('Rates &amp; Drop Downs INT'!$BM$7:$BM$79=$C164)*('Rates &amp; Drop Downs INT'!$BR$7:$BR$79)),0),"")</f>
        <v>0</v>
      </c>
      <c r="P164" s="1393" cm="1">
        <f t="array" ref="P164">IFERROR(IF(COUNTIFS($C$48:$C$147,$C164)&gt;0,SUMPRODUCT(('Rates &amp; Drop Downs INT'!$BS$7:$BS$79=P$166)*('Rates &amp; Drop Downs INT'!$BM$7:$BM$79=$C164)*('Rates &amp; Drop Downs INT'!$BR$7:$BR$79)),0),"")</f>
        <v>0</v>
      </c>
      <c r="Q164" s="1393" cm="1">
        <f t="array" ref="Q164">IFERROR(IF(COUNTIFS($C$48:$C$147,$C164)&gt;0,SUMPRODUCT(('Rates &amp; Drop Downs INT'!$BS$7:$BS$79=Q$166)*('Rates &amp; Drop Downs INT'!$BM$7:$BM$79=$C164)*('Rates &amp; Drop Downs INT'!$BR$7:$BR$79)),0),"")</f>
        <v>0</v>
      </c>
      <c r="R164" s="1393" cm="1">
        <f t="array" ref="R164">IFERROR(IF(COUNTIFS($C$48:$C$147,$C164)&gt;0,SUMPRODUCT(('Rates &amp; Drop Downs INT'!$BS$7:$BS$79=R$166)*('Rates &amp; Drop Downs INT'!$BM$7:$BM$79=$C164)*('Rates &amp; Drop Downs INT'!$BR$7:$BR$79)),0),"")</f>
        <v>0</v>
      </c>
      <c r="S164" s="1393" cm="1">
        <f t="array" ref="S164">IFERROR(IF(COUNTIFS($C$48:$C$147,$C164)&gt;0,SUMPRODUCT(('Rates &amp; Drop Downs INT'!$BS$7:$BS$79=S$166)*('Rates &amp; Drop Downs INT'!$BM$7:$BM$79=$C164)*('Rates &amp; Drop Downs INT'!$BR$7:$BR$79)),0),"")</f>
        <v>0</v>
      </c>
      <c r="T164" s="1393" cm="1">
        <f t="array" ref="T164">IFERROR(IF(COUNTIFS($C$48:$C$147,$C164)&gt;0,SUMPRODUCT(('Rates &amp; Drop Downs INT'!$BS$7:$BS$79=T$166)*('Rates &amp; Drop Downs INT'!$BM$7:$BM$79=$C164)*('Rates &amp; Drop Downs INT'!$BR$7:$BR$79)),0),"")</f>
        <v>0</v>
      </c>
      <c r="U164" s="1393" cm="1">
        <f t="array" ref="U164">IFERROR(IF(COUNTIFS($C$48:$C$147,$C164)&gt;0,SUMPRODUCT(('Rates &amp; Drop Downs INT'!$BS$7:$BS$79=U$166)*('Rates &amp; Drop Downs INT'!$BM$7:$BM$79=$C164)*('Rates &amp; Drop Downs INT'!$BR$7:$BR$79)),0),"")</f>
        <v>0</v>
      </c>
      <c r="V164" s="1393" cm="1">
        <f t="array" ref="V164">IFERROR(IF(COUNTIFS($C$48:$C$147,$C164)&gt;0,SUMPRODUCT(('Rates &amp; Drop Downs INT'!$BS$7:$BS$79=V$166)*('Rates &amp; Drop Downs INT'!$BM$7:$BM$79=$C164)*('Rates &amp; Drop Downs INT'!$BR$7:$BR$79)),0),"")</f>
        <v>0</v>
      </c>
      <c r="W164" s="1393" cm="1">
        <f t="array" ref="W164">IFERROR(IF(COUNTIFS($C$48:$C$147,$C164)&gt;0,SUMPRODUCT(('Rates &amp; Drop Downs INT'!$BS$7:$BS$79=W$166)*('Rates &amp; Drop Downs INT'!$BM$7:$BM$79=$C164)*('Rates &amp; Drop Downs INT'!$BR$7:$BR$79)),0),"")</f>
        <v>0</v>
      </c>
      <c r="X164" s="1393"/>
      <c r="Y164" s="1393" cm="1">
        <f t="array" ref="Y164">IFERROR(IF(COUNTIFS($C$48:$C$147,$C164)&gt;0,SUMPRODUCT(('Rates &amp; Drop Downs INT'!$BS$7:$BS$79=Y$166)*('Rates &amp; Drop Downs INT'!$BM$7:$BM$79=$C164)*('Rates &amp; Drop Downs INT'!$BR$7:$BR$79)),0),"")</f>
        <v>0</v>
      </c>
      <c r="Z164" s="1393" cm="1">
        <f t="array" ref="Z164">IFERROR(IF(COUNTIFS($C$48:$C$147,$C164)&gt;0,SUMPRODUCT(('Rates &amp; Drop Downs INT'!$BS$7:$BS$79=Z$166)*('Rates &amp; Drop Downs INT'!$BM$7:$BM$79=$C164)*('Rates &amp; Drop Downs INT'!$BR$7:$BR$79)),0),"")</f>
        <v>0</v>
      </c>
      <c r="AA164" s="1393" cm="1">
        <f t="array" ref="AA164">IFERROR(IF(COUNTIFS($C$48:$C$147,$C164)&gt;0,SUMPRODUCT(('Rates &amp; Drop Downs INT'!$BS$7:$BS$79=AA$166)*('Rates &amp; Drop Downs INT'!$BM$7:$BM$79=$C164)*('Rates &amp; Drop Downs INT'!$BR$7:$BR$79)),0),"")</f>
        <v>0</v>
      </c>
      <c r="AB164" s="1393" cm="1">
        <f t="array" ref="AB164">IFERROR(IF(COUNTIFS($C$48:$C$147,$C164)&gt;0,SUMPRODUCT(('Rates &amp; Drop Downs INT'!$BS$7:$BS$79=AB$166)*('Rates &amp; Drop Downs INT'!$BM$7:$BM$79=$C164)*('Rates &amp; Drop Downs INT'!$BR$7:$BR$79)),0),"")</f>
        <v>0</v>
      </c>
      <c r="AC164" s="1393"/>
      <c r="AD164" s="1393"/>
      <c r="AE164" s="1393"/>
      <c r="AF164" s="1393"/>
      <c r="AG164" s="1393" cm="1">
        <f t="array" ref="AG164">IFERROR(IF(COUNTIFS($C$48:$C$147,$C164)&gt;0,SUMPRODUCT(('Rates &amp; Drop Downs INT'!$BS$7:$BS$79=AG$166)*('Rates &amp; Drop Downs INT'!$BM$7:$BM$79=$C164)*('Rates &amp; Drop Downs INT'!$BR$7:$BR$79)),0),"")</f>
        <v>0</v>
      </c>
      <c r="AH164" s="1393" cm="1">
        <f t="array" ref="AH164">IFERROR(IF(COUNTIFS($C$48:$C$147,$C164)&gt;0,SUMPRODUCT(('Rates &amp; Drop Downs INT'!$BS$7:$BS$79=AH$166)*('Rates &amp; Drop Downs INT'!$BM$7:$BM$79=$C164)*('Rates &amp; Drop Downs INT'!$BR$7:$BR$79)),0),"")</f>
        <v>0</v>
      </c>
      <c r="AI164" s="1393" cm="1">
        <f t="array" ref="AI164">IFERROR(IF(COUNTIFS($C$48:$C$147,$C164)&gt;0,SUMPRODUCT(('Rates &amp; Drop Downs INT'!$BS$7:$BS$79=AI$166)*('Rates &amp; Drop Downs INT'!$BM$7:$BM$79=$C164)*('Rates &amp; Drop Downs INT'!$BR$7:$BR$79)),0),"")</f>
        <v>0</v>
      </c>
      <c r="AJ164" s="1393" cm="1">
        <f t="array" ref="AJ164">IFERROR(IF(COUNTIFS($C$48:$C$147,$C164)&gt;0,SUMPRODUCT(('Rates &amp; Drop Downs INT'!$BS$7:$BS$79=AJ$166)*('Rates &amp; Drop Downs INT'!$BM$7:$BM$79=$C164)*('Rates &amp; Drop Downs INT'!$BR$7:$BR$79)),0),"")</f>
        <v>0</v>
      </c>
      <c r="AK164" s="1393" cm="1">
        <f t="array" ref="AK164">IFERROR(IF(COUNTIFS($C$48:$C$147,$C164)&gt;0,SUMPRODUCT(('Rates &amp; Drop Downs INT'!$BS$7:$BS$79=AK$166)*('Rates &amp; Drop Downs INT'!$BM$7:$BM$79=$C164)*('Rates &amp; Drop Downs INT'!$BR$7:$BR$79)),0),"")</f>
        <v>0</v>
      </c>
      <c r="AL164" s="1393" cm="1">
        <f t="array" ref="AL164">IFERROR(IF(COUNTIFS($C$48:$C$147,$C164)&gt;0,SUMPRODUCT(('Rates &amp; Drop Downs INT'!$BS$7:$BS$79=AL$166)*('Rates &amp; Drop Downs INT'!$BM$7:$BM$79=$C164)*('Rates &amp; Drop Downs INT'!$BR$7:$BR$79)),0),"")</f>
        <v>0</v>
      </c>
      <c r="AM164" s="1393" cm="1">
        <f t="array" ref="AM164">IFERROR(IF(COUNTIFS($C$48:$C$147,$C164)&gt;0,SUMPRODUCT(('Rates &amp; Drop Downs INT'!$BS$7:$BS$79=AM$166)*('Rates &amp; Drop Downs INT'!$BM$7:$BM$79=$C164)*('Rates &amp; Drop Downs INT'!$BR$7:$BR$79)),0),"")</f>
        <v>0</v>
      </c>
      <c r="AN164" s="1393" cm="1">
        <f t="array" ref="AN164">IFERROR(IF(COUNTIFS($C$48:$C$147,$C164)&gt;0,SUMPRODUCT(('Rates &amp; Drop Downs INT'!$BS$7:$BS$79=AN$166)*('Rates &amp; Drop Downs INT'!$BM$7:$BM$79=$C164)*('Rates &amp; Drop Downs INT'!$BR$7:$BR$79)),0),"")</f>
        <v>0</v>
      </c>
      <c r="AO164" s="1393" cm="1">
        <f t="array" ref="AO164">IFERROR(IF(COUNTIFS($C$48:$C$147,$C164)&gt;0,SUMPRODUCT(('Rates &amp; Drop Downs INT'!$BS$7:$BS$79=AO$166)*('Rates &amp; Drop Downs INT'!$BM$7:$BM$79=$C164)*('Rates &amp; Drop Downs INT'!$BR$7:$BR$79)),0),"")</f>
        <v>0</v>
      </c>
      <c r="AP164" s="1393" cm="1">
        <f t="array" ref="AP164">IFERROR(IF(COUNTIFS($C$48:$C$147,$C164)&gt;0,SUMPRODUCT(('Rates &amp; Drop Downs INT'!$BS$7:$BS$79=AP$166)*('Rates &amp; Drop Downs INT'!$BM$7:$BM$79=$C164)*('Rates &amp; Drop Downs INT'!$BR$7:$BR$79)),0),"")</f>
        <v>0</v>
      </c>
      <c r="AQ164" s="1393" cm="1">
        <f t="array" ref="AQ164">IFERROR(IF(COUNTIFS($C$48:$C$147,$C164)&gt;0,SUMPRODUCT(('Rates &amp; Drop Downs INT'!$BS$7:$BS$79=AQ$166)*('Rates &amp; Drop Downs INT'!$BM$7:$BM$79=$C164)*('Rates &amp; Drop Downs INT'!$BR$7:$BR$79)),0),"")</f>
        <v>0</v>
      </c>
      <c r="AR164" s="1393" cm="1">
        <f t="array" ref="AR164">IFERROR(IF(COUNTIFS($C$48:$C$147,$C164)&gt;0,SUMPRODUCT(('Rates &amp; Drop Downs INT'!$BS$7:$BS$79=AR$166)*('Rates &amp; Drop Downs INT'!$BM$7:$BM$79=$C164)*('Rates &amp; Drop Downs INT'!$BR$7:$BR$79)),0),"")</f>
        <v>0</v>
      </c>
      <c r="AS164" s="1393" cm="1">
        <f t="array" ref="AS164">IFERROR(IF(COUNTIFS($C$48:$C$147,$C164)&gt;0,SUMPRODUCT(('Rates &amp; Drop Downs INT'!$BS$7:$BS$79=AS$166)*('Rates &amp; Drop Downs INT'!$BM$7:$BM$79=$C164)*('Rates &amp; Drop Downs INT'!$BR$7:$BR$79)),0),"")</f>
        <v>0</v>
      </c>
      <c r="AT164" s="1393" cm="1">
        <f t="array" ref="AT164">IFERROR(IF(COUNTIFS($C$48:$C$147,$C164)&gt;0,SUMPRODUCT(('Rates &amp; Drop Downs INT'!$BS$7:$BS$79=AT$166)*('Rates &amp; Drop Downs INT'!$BM$7:$BM$79=$C164)*('Rates &amp; Drop Downs INT'!$BR$7:$BR$79)),0),"")</f>
        <v>0</v>
      </c>
      <c r="AU164" s="1393" cm="1">
        <f t="array" ref="AU164">IFERROR(IF(COUNTIFS($C$48:$C$147,$C164)&gt;0,SUMPRODUCT(('Rates &amp; Drop Downs INT'!$BS$7:$BS$79=AU$166)*('Rates &amp; Drop Downs INT'!$BM$7:$BM$79=$C164)*('Rates &amp; Drop Downs INT'!$BR$7:$BR$79)),0),"")</f>
        <v>0</v>
      </c>
      <c r="AV164" s="1393" cm="1">
        <f t="array" ref="AV164">IFERROR(IF(COUNTIFS($C$48:$C$147,$C164)&gt;0,SUMPRODUCT(('Rates &amp; Drop Downs INT'!$BS$7:$BS$79=AV$166)*('Rates &amp; Drop Downs INT'!$BM$7:$BM$79=$C164)*('Rates &amp; Drop Downs INT'!$BR$7:$BR$79)),0),"")</f>
        <v>0</v>
      </c>
      <c r="AW164" s="1393" cm="1">
        <f t="array" ref="AW164">IFERROR(IF(COUNTIFS($C$48:$C$147,$C164)&gt;0,SUMPRODUCT(('Rates &amp; Drop Downs INT'!$BS$7:$BS$79=AW$166)*('Rates &amp; Drop Downs INT'!$BM$7:$BM$79=$C164)*('Rates &amp; Drop Downs INT'!$BR$7:$BR$79)),0),"")</f>
        <v>0</v>
      </c>
      <c r="AX164" s="1393" cm="1">
        <f t="array" ref="AX164">IFERROR(IF(COUNTIFS($C$48:$C$147,$C164)&gt;0,SUMPRODUCT(('Rates &amp; Drop Downs INT'!$BS$7:$BS$79=AX$166)*('Rates &amp; Drop Downs INT'!$BM$7:$BM$79=$C164)*('Rates &amp; Drop Downs INT'!$BR$7:$BR$79)),0),"")</f>
        <v>0</v>
      </c>
      <c r="AY164" s="1393" cm="1">
        <f t="array" ref="AY164">IFERROR(IF(COUNTIFS($C$48:$C$147,$C164)&gt;0,SUMPRODUCT(('Rates &amp; Drop Downs INT'!$BS$7:$BS$79=AY$166)*('Rates &amp; Drop Downs INT'!$BM$7:$BM$79=$C164)*('Rates &amp; Drop Downs INT'!$BR$7:$BR$79)),0),"")</f>
        <v>0</v>
      </c>
      <c r="AZ164" s="1393" cm="1">
        <f t="array" ref="AZ164">IFERROR(IF(COUNTIFS($C$48:$C$147,$C164)&gt;0,SUMPRODUCT(('Rates &amp; Drop Downs INT'!$BS$7:$BS$79=AZ$166)*('Rates &amp; Drop Downs INT'!$BM$7:$BM$79=$C164)*('Rates &amp; Drop Downs INT'!$BR$7:$BR$79)),0),"")</f>
        <v>0</v>
      </c>
      <c r="BA164" s="1393" cm="1">
        <f t="array" ref="BA164">IFERROR(IF(COUNTIFS($C$48:$C$147,$C164)&gt;0,SUMPRODUCT(('Rates &amp; Drop Downs INT'!$BS$7:$BS$79=BA$166)*('Rates &amp; Drop Downs INT'!$BM$7:$BM$79=$C164)*('Rates &amp; Drop Downs INT'!$BR$7:$BR$79)),0),"")</f>
        <v>0</v>
      </c>
      <c r="BB164" s="1393" cm="1">
        <f t="array" ref="BB164">IFERROR(IF(COUNTIFS($C$48:$C$147,$C164)&gt;0,SUMPRODUCT(('Rates &amp; Drop Downs INT'!$BS$7:$BS$79=BB$166)*('Rates &amp; Drop Downs INT'!$BM$7:$BM$79=$C164)*('Rates &amp; Drop Downs INT'!$BR$7:$BR$79)),0),"")</f>
        <v>0</v>
      </c>
      <c r="BC164" s="1393" cm="1">
        <f t="array" ref="BC164">IFERROR(IF(COUNTIFS($C$48:$C$147,$C164)&gt;0,SUMPRODUCT(('Rates &amp; Drop Downs INT'!$BS$7:$BS$79=BC$166)*('Rates &amp; Drop Downs INT'!$BM$7:$BM$79=$C164)*('Rates &amp; Drop Downs INT'!$BR$7:$BR$79)),0),"")</f>
        <v>0</v>
      </c>
      <c r="BD164" s="1393" cm="1">
        <f t="array" ref="BD164">IFERROR(IF(COUNTIFS($C$48:$C$147,$C164)&gt;0,SUMPRODUCT(('Rates &amp; Drop Downs INT'!$BS$7:$BS$79=BD$166)*('Rates &amp; Drop Downs INT'!$BM$7:$BM$79=$C164)*('Rates &amp; Drop Downs INT'!$BR$7:$BR$79)),0),"")</f>
        <v>0</v>
      </c>
      <c r="BE164" s="1393" cm="1">
        <f t="array" ref="BE164">IFERROR(IF(COUNTIFS($C$48:$C$147,$C164)&gt;0,SUMPRODUCT(('Rates &amp; Drop Downs INT'!$BS$7:$BS$79=BE$166)*('Rates &amp; Drop Downs INT'!$BM$7:$BM$79=$C164)*('Rates &amp; Drop Downs INT'!$BR$7:$BR$79)),0),"")</f>
        <v>0</v>
      </c>
      <c r="BF164" s="1393" cm="1">
        <f t="array" ref="BF164">IFERROR(IF(COUNTIFS($C$48:$C$147,$C164)&gt;0,SUMPRODUCT(('Rates &amp; Drop Downs INT'!$BS$7:$BS$79=BF$166)*('Rates &amp; Drop Downs INT'!$BM$7:$BM$79=$C164)*('Rates &amp; Drop Downs INT'!$BR$7:$BR$79)),0),"")</f>
        <v>0</v>
      </c>
      <c r="BG164" s="1393" cm="1">
        <f t="array" ref="BG164">IFERROR(IF(COUNTIFS($C$48:$C$147,$C164)&gt;0,SUMPRODUCT(('Rates &amp; Drop Downs INT'!$BS$7:$BS$79=BG$166)*('Rates &amp; Drop Downs INT'!$BM$7:$BM$79=$C164)*('Rates &amp; Drop Downs INT'!$BR$7:$BR$79)),0),"")</f>
        <v>0</v>
      </c>
      <c r="BH164" s="1393" cm="1">
        <f t="array" ref="BH164">IFERROR(IF(COUNTIFS($C$48:$C$147,$C164)&gt;0,SUMPRODUCT(('Rates &amp; Drop Downs INT'!$BS$7:$BS$79=BH$166)*('Rates &amp; Drop Downs INT'!$BM$7:$BM$79=$C164)*('Rates &amp; Drop Downs INT'!$BR$7:$BR$79)),0),"")</f>
        <v>0</v>
      </c>
      <c r="BI164" s="1393" cm="1">
        <f t="array" ref="BI164">IFERROR(IF(COUNTIFS($C$48:$C$147,$C164)&gt;0,SUMPRODUCT(('Rates &amp; Drop Downs INT'!$BS$7:$BS$79=BI$166)*('Rates &amp; Drop Downs INT'!$BM$7:$BM$79=$C164)*('Rates &amp; Drop Downs INT'!$BR$7:$BR$79)),0),"")</f>
        <v>0</v>
      </c>
      <c r="BJ164" s="1393" cm="1">
        <f t="array" ref="BJ164">IFERROR(IF(COUNTIFS($C$48:$C$147,$C164)&gt;0,SUMPRODUCT(('Rates &amp; Drop Downs INT'!$BS$7:$BS$79=BJ$166)*('Rates &amp; Drop Downs INT'!$BM$7:$BM$79=$C164)*('Rates &amp; Drop Downs INT'!$BR$7:$BR$79)),0),"")</f>
        <v>0</v>
      </c>
      <c r="BK164" s="1393" cm="1">
        <f t="array" ref="BK164">IFERROR(IF(COUNTIFS($C$48:$C$147,$C164)&gt;0,SUMPRODUCT(('Rates &amp; Drop Downs INT'!$BS$7:$BS$79=BK$166)*('Rates &amp; Drop Downs INT'!$BM$7:$BM$79=$C164)*('Rates &amp; Drop Downs INT'!$BR$7:$BR$79)),0),"")</f>
        <v>0</v>
      </c>
      <c r="BL164" s="1393" cm="1">
        <f t="array" ref="BL164">IFERROR(IF(COUNTIFS($C$48:$C$147,$C164)&gt;0,SUMPRODUCT(('Rates &amp; Drop Downs INT'!$BS$7:$BS$79=BL$166)*('Rates &amp; Drop Downs INT'!$BM$7:$BM$79=$C164)*('Rates &amp; Drop Downs INT'!$BR$7:$BR$79)),0),"")</f>
        <v>0</v>
      </c>
      <c r="BM164" s="1394" cm="1">
        <f t="array" ref="BM164">IFERROR(IF(COUNTIFS($C$48:$C$147,$C164)&gt;0,SUMPRODUCT(('Rates &amp; Drop Downs INT'!$BS$7:$BS$79=BM$166)*('Rates &amp; Drop Downs INT'!$BM$7:$BM$79=$C164)*('Rates &amp; Drop Downs INT'!$BR$7:$BR$79)),0),"")</f>
        <v>0</v>
      </c>
      <c r="BN164" s="1395" cm="1">
        <f t="array" ref="BN164">IFERROR(IF(COUNTIFS($C$48:$C$147,$C164)&gt;0,SUMPRODUCT(('Rates &amp; Drop Downs INT'!$BS$7:$BS$79=BN$166)*('Rates &amp; Drop Downs INT'!$BM$7:$BM$79=$C164)*('Rates &amp; Drop Downs INT'!$BR$7:$BR$79)),0),"")</f>
        <v>0</v>
      </c>
      <c r="BO164" s="1395" cm="1">
        <f t="array" ref="BO164">IFERROR(IF(COUNTIFS($C$48:$C$147,$C164)&gt;0,SUMPRODUCT(('Rates &amp; Drop Downs INT'!$BS$7:$BS$79=BO$166)*('Rates &amp; Drop Downs INT'!$BM$7:$BM$79=$C164)*('Rates &amp; Drop Downs INT'!$BR$7:$BR$79)),0),"")</f>
        <v>0</v>
      </c>
      <c r="BP164" s="413"/>
      <c r="BQ164" s="413"/>
      <c r="BR164" s="413"/>
      <c r="BS164" s="413"/>
      <c r="BT164" s="413"/>
      <c r="BU164" s="413"/>
      <c r="BV164" s="413"/>
      <c r="BW164" s="413"/>
      <c r="BX164" s="413"/>
      <c r="BY164" s="413"/>
      <c r="BZ164" s="413"/>
      <c r="CA164" s="413"/>
      <c r="CB164" s="413"/>
      <c r="CC164" s="413"/>
      <c r="CD164" s="413"/>
      <c r="CE164" s="413"/>
      <c r="CF164" s="413"/>
      <c r="CG164" s="413"/>
      <c r="CH164" s="413"/>
      <c r="CI164" s="413"/>
      <c r="CJ164" s="413"/>
      <c r="CK164" s="413"/>
      <c r="CL164" s="413"/>
      <c r="CM164" s="413"/>
      <c r="CN164" s="413"/>
      <c r="CO164" s="413"/>
      <c r="CP164" s="413"/>
      <c r="CQ164" s="413"/>
    </row>
    <row r="165" spans="3:95" x14ac:dyDescent="0.3">
      <c r="C165" s="1717" t="s">
        <v>294</v>
      </c>
      <c r="D165" s="1717"/>
      <c r="E165" s="1393"/>
      <c r="F165" s="1393" cm="1">
        <f t="array" ref="F165">IFERROR(IF(COUNTIFS($C$48:$C$147,$C165)&gt;0,SUMPRODUCT(('Rates &amp; Drop Downs INT'!$BS$7:$BS$79=F$166)*('Rates &amp; Drop Downs INT'!$BM$7:$BM$79=$C165)*('Rates &amp; Drop Downs INT'!$BR$7:$BR$79)),0),"")</f>
        <v>0</v>
      </c>
      <c r="G165" s="1393" cm="1">
        <f t="array" ref="G165">IFERROR(IF(COUNTIFS($C$48:$C$147,$C165)&gt;0,SUMPRODUCT(('Rates &amp; Drop Downs INT'!$BS$7:$BS$79=G$166)*('Rates &amp; Drop Downs INT'!$BM$7:$BM$79=$C165)*('Rates &amp; Drop Downs INT'!$BR$7:$BR$79)),0),"")</f>
        <v>0</v>
      </c>
      <c r="H165" s="1393" cm="1">
        <f t="array" ref="H165">IFERROR(IF(COUNTIFS($C$48:$C$147,$C165)&gt;0,SUMPRODUCT(('Rates &amp; Drop Downs INT'!$BS$7:$BS$79=H$166)*('Rates &amp; Drop Downs INT'!$BM$7:$BM$79=$C165)*('Rates &amp; Drop Downs INT'!$BR$7:$BR$79)),0),"")</f>
        <v>0</v>
      </c>
      <c r="I165" s="1393" cm="1">
        <f t="array" ref="I165">IFERROR(IF(COUNTIFS($C$48:$C$147,$C165)&gt;0,SUMPRODUCT(('Rates &amp; Drop Downs INT'!$BS$7:$BS$79=I$166)*('Rates &amp; Drop Downs INT'!$BM$7:$BM$79=$C165)*('Rates &amp; Drop Downs INT'!$BR$7:$BR$79)),0),"")</f>
        <v>0</v>
      </c>
      <c r="J165" s="1393" cm="1">
        <f t="array" ref="J165">IFERROR(IF(COUNTIFS($C$48:$C$147,$C165)&gt;0,SUMPRODUCT(('Rates &amp; Drop Downs INT'!$BS$7:$BS$79=J$166)*('Rates &amp; Drop Downs INT'!$BM$7:$BM$79=$C165)*('Rates &amp; Drop Downs INT'!$BR$7:$BR$79)),0),"")</f>
        <v>0</v>
      </c>
      <c r="K165" s="1393" cm="1">
        <f t="array" ref="K165">IFERROR(IF(COUNTIFS($C$48:$C$147,$C165)&gt;0,SUMPRODUCT(('Rates &amp; Drop Downs INT'!$BS$7:$BS$79=K$166)*('Rates &amp; Drop Downs INT'!$BM$7:$BM$79=$C165)*('Rates &amp; Drop Downs INT'!$BR$7:$BR$79)),0),"")</f>
        <v>0</v>
      </c>
      <c r="L165" s="1393" cm="1">
        <f t="array" ref="L165">IFERROR(IF(COUNTIFS($C$48:$C$147,$C165)&gt;0,SUMPRODUCT(('Rates &amp; Drop Downs INT'!$BS$7:$BS$79=L$166)*('Rates &amp; Drop Downs INT'!$BM$7:$BM$79=$C165)*('Rates &amp; Drop Downs INT'!$BR$7:$BR$79)),0),"")</f>
        <v>0</v>
      </c>
      <c r="M165" s="1393" cm="1">
        <f t="array" ref="M165">IFERROR(IF(COUNTIFS($C$48:$C$147,$C165)&gt;0,SUMPRODUCT(('Rates &amp; Drop Downs INT'!$BS$7:$BS$79=M$166)*('Rates &amp; Drop Downs INT'!$BM$7:$BM$79=$C165)*('Rates &amp; Drop Downs INT'!$BR$7:$BR$79)),0),"")</f>
        <v>0</v>
      </c>
      <c r="N165" s="1393" cm="1">
        <f t="array" ref="N165">IFERROR(IF(COUNTIFS($C$48:$C$147,$C165)&gt;0,SUMPRODUCT(('Rates &amp; Drop Downs INT'!$BS$7:$BS$79=N$166)*('Rates &amp; Drop Downs INT'!$BM$7:$BM$79=$C165)*('Rates &amp; Drop Downs INT'!$BR$7:$BR$79)),0),"")</f>
        <v>0</v>
      </c>
      <c r="O165" s="1393" cm="1">
        <f t="array" ref="O165">IFERROR(IF(COUNTIFS($C$48:$C$147,$C165)&gt;0,SUMPRODUCT(('Rates &amp; Drop Downs INT'!$BS$7:$BS$79=O$166)*('Rates &amp; Drop Downs INT'!$BM$7:$BM$79=$C165)*('Rates &amp; Drop Downs INT'!$BR$7:$BR$79)),0),"")</f>
        <v>0</v>
      </c>
      <c r="P165" s="1393" cm="1">
        <f t="array" ref="P165">IFERROR(IF(COUNTIFS($C$48:$C$147,$C165)&gt;0,SUMPRODUCT(('Rates &amp; Drop Downs INT'!$BS$7:$BS$79=P$166)*('Rates &amp; Drop Downs INT'!$BM$7:$BM$79=$C165)*('Rates &amp; Drop Downs INT'!$BR$7:$BR$79)),0),"")</f>
        <v>0</v>
      </c>
      <c r="Q165" s="1393" cm="1">
        <f t="array" ref="Q165">IFERROR(IF(COUNTIFS($C$48:$C$147,$C165)&gt;0,SUMPRODUCT(('Rates &amp; Drop Downs INT'!$BS$7:$BS$79=Q$166)*('Rates &amp; Drop Downs INT'!$BM$7:$BM$79=$C165)*('Rates &amp; Drop Downs INT'!$BR$7:$BR$79)),0),"")</f>
        <v>0</v>
      </c>
      <c r="R165" s="1393" cm="1">
        <f t="array" ref="R165">IFERROR(IF(COUNTIFS($C$48:$C$147,$C165)&gt;0,SUMPRODUCT(('Rates &amp; Drop Downs INT'!$BS$7:$BS$79=R$166)*('Rates &amp; Drop Downs INT'!$BM$7:$BM$79=$C165)*('Rates &amp; Drop Downs INT'!$BR$7:$BR$79)),0),"")</f>
        <v>0</v>
      </c>
      <c r="S165" s="1393" cm="1">
        <f t="array" ref="S165">IFERROR(IF(COUNTIFS($C$48:$C$147,$C165)&gt;0,SUMPRODUCT(('Rates &amp; Drop Downs INT'!$BS$7:$BS$79=S$166)*('Rates &amp; Drop Downs INT'!$BM$7:$BM$79=$C165)*('Rates &amp; Drop Downs INT'!$BR$7:$BR$79)),0),"")</f>
        <v>0</v>
      </c>
      <c r="T165" s="1393" cm="1">
        <f t="array" ref="T165">IFERROR(IF(COUNTIFS($C$48:$C$147,$C165)&gt;0,SUMPRODUCT(('Rates &amp; Drop Downs INT'!$BS$7:$BS$79=T$166)*('Rates &amp; Drop Downs INT'!$BM$7:$BM$79=$C165)*('Rates &amp; Drop Downs INT'!$BR$7:$BR$79)),0),"")</f>
        <v>0</v>
      </c>
      <c r="U165" s="1393" cm="1">
        <f t="array" ref="U165">IFERROR(IF(COUNTIFS($C$48:$C$147,$C165)&gt;0,SUMPRODUCT(('Rates &amp; Drop Downs INT'!$BS$7:$BS$79=U$166)*('Rates &amp; Drop Downs INT'!$BM$7:$BM$79=$C165)*('Rates &amp; Drop Downs INT'!$BR$7:$BR$79)),0),"")</f>
        <v>0</v>
      </c>
      <c r="V165" s="1393" cm="1">
        <f t="array" ref="V165">IFERROR(IF(COUNTIFS($C$48:$C$147,$C165)&gt;0,SUMPRODUCT(('Rates &amp; Drop Downs INT'!$BS$7:$BS$79=V$166)*('Rates &amp; Drop Downs INT'!$BM$7:$BM$79=$C165)*('Rates &amp; Drop Downs INT'!$BR$7:$BR$79)),0),"")</f>
        <v>0</v>
      </c>
      <c r="W165" s="1393" cm="1">
        <f t="array" ref="W165">IFERROR(IF(COUNTIFS($C$48:$C$147,$C165)&gt;0,SUMPRODUCT(('Rates &amp; Drop Downs INT'!$BS$7:$BS$79=W$166)*('Rates &amp; Drop Downs INT'!$BM$7:$BM$79=$C165)*('Rates &amp; Drop Downs INT'!$BR$7:$BR$79)),0),"")</f>
        <v>0</v>
      </c>
      <c r="X165" s="1393"/>
      <c r="Y165" s="1393" cm="1">
        <f t="array" ref="Y165">IFERROR(IF(COUNTIFS($C$48:$C$147,$C165)&gt;0,SUMPRODUCT(('Rates &amp; Drop Downs INT'!$BS$7:$BS$79=Y$166)*('Rates &amp; Drop Downs INT'!$BM$7:$BM$79=$C165)*('Rates &amp; Drop Downs INT'!$BR$7:$BR$79)),0),"")</f>
        <v>0</v>
      </c>
      <c r="Z165" s="1393" cm="1">
        <f t="array" ref="Z165">IFERROR(IF(COUNTIFS($C$48:$C$147,$C165)&gt;0,SUMPRODUCT(('Rates &amp; Drop Downs INT'!$BS$7:$BS$79=Z$166)*('Rates &amp; Drop Downs INT'!$BM$7:$BM$79=$C165)*('Rates &amp; Drop Downs INT'!$BR$7:$BR$79)),0),"")</f>
        <v>0</v>
      </c>
      <c r="AA165" s="1393" cm="1">
        <f t="array" ref="AA165">IFERROR(IF(COUNTIFS($C$48:$C$147,$C165)&gt;0,SUMPRODUCT(('Rates &amp; Drop Downs INT'!$BS$7:$BS$79=AA$166)*('Rates &amp; Drop Downs INT'!$BM$7:$BM$79=$C165)*('Rates &amp; Drop Downs INT'!$BR$7:$BR$79)),0),"")</f>
        <v>0</v>
      </c>
      <c r="AB165" s="1393" cm="1">
        <f t="array" ref="AB165">IFERROR(IF(COUNTIFS($C$48:$C$147,$C165)&gt;0,SUMPRODUCT(('Rates &amp; Drop Downs INT'!$BS$7:$BS$79=AB$166)*('Rates &amp; Drop Downs INT'!$BM$7:$BM$79=$C165)*('Rates &amp; Drop Downs INT'!$BR$7:$BR$79)),0),"")</f>
        <v>0</v>
      </c>
      <c r="AC165" s="1393"/>
      <c r="AD165" s="1393"/>
      <c r="AE165" s="1393"/>
      <c r="AF165" s="1393"/>
      <c r="AG165" s="1393" cm="1">
        <f t="array" ref="AG165">IFERROR(IF(COUNTIFS($C$48:$C$147,$C165)&gt;0,SUMPRODUCT(('Rates &amp; Drop Downs INT'!$BS$7:$BS$79=AG$166)*('Rates &amp; Drop Downs INT'!$BM$7:$BM$79=$C165)*('Rates &amp; Drop Downs INT'!$BR$7:$BR$79)),0),"")</f>
        <v>0</v>
      </c>
      <c r="AH165" s="1393" cm="1">
        <f t="array" ref="AH165">IFERROR(IF(COUNTIFS($C$48:$C$147,$C165)&gt;0,SUMPRODUCT(('Rates &amp; Drop Downs INT'!$BS$7:$BS$79=AH$166)*('Rates &amp; Drop Downs INT'!$BM$7:$BM$79=$C165)*('Rates &amp; Drop Downs INT'!$BR$7:$BR$79)),0),"")</f>
        <v>0</v>
      </c>
      <c r="AI165" s="1393" cm="1">
        <f t="array" ref="AI165">IFERROR(IF(COUNTIFS($C$48:$C$147,$C165)&gt;0,SUMPRODUCT(('Rates &amp; Drop Downs INT'!$BS$7:$BS$79=AI$166)*('Rates &amp; Drop Downs INT'!$BM$7:$BM$79=$C165)*('Rates &amp; Drop Downs INT'!$BR$7:$BR$79)),0),"")</f>
        <v>0</v>
      </c>
      <c r="AJ165" s="1393" cm="1">
        <f t="array" ref="AJ165">IFERROR(IF(COUNTIFS($C$48:$C$147,$C165)&gt;0,SUMPRODUCT(('Rates &amp; Drop Downs INT'!$BS$7:$BS$79=AJ$166)*('Rates &amp; Drop Downs INT'!$BM$7:$BM$79=$C165)*('Rates &amp; Drop Downs INT'!$BR$7:$BR$79)),0),"")</f>
        <v>0</v>
      </c>
      <c r="AK165" s="1393" cm="1">
        <f t="array" ref="AK165">IFERROR(IF(COUNTIFS($C$48:$C$147,$C165)&gt;0,SUMPRODUCT(('Rates &amp; Drop Downs INT'!$BS$7:$BS$79=AK$166)*('Rates &amp; Drop Downs INT'!$BM$7:$BM$79=$C165)*('Rates &amp; Drop Downs INT'!$BR$7:$BR$79)),0),"")</f>
        <v>0</v>
      </c>
      <c r="AL165" s="1393" cm="1">
        <f t="array" ref="AL165">IFERROR(IF(COUNTIFS($C$48:$C$147,$C165)&gt;0,SUMPRODUCT(('Rates &amp; Drop Downs INT'!$BS$7:$BS$79=AL$166)*('Rates &amp; Drop Downs INT'!$BM$7:$BM$79=$C165)*('Rates &amp; Drop Downs INT'!$BR$7:$BR$79)),0),"")</f>
        <v>0</v>
      </c>
      <c r="AM165" s="1393" cm="1">
        <f t="array" ref="AM165">IFERROR(IF(COUNTIFS($C$48:$C$147,$C165)&gt;0,SUMPRODUCT(('Rates &amp; Drop Downs INT'!$BS$7:$BS$79=AM$166)*('Rates &amp; Drop Downs INT'!$BM$7:$BM$79=$C165)*('Rates &amp; Drop Downs INT'!$BR$7:$BR$79)),0),"")</f>
        <v>0</v>
      </c>
      <c r="AN165" s="1393" cm="1">
        <f t="array" ref="AN165">IFERROR(IF(COUNTIFS($C$48:$C$147,$C165)&gt;0,SUMPRODUCT(('Rates &amp; Drop Downs INT'!$BS$7:$BS$79=AN$166)*('Rates &amp; Drop Downs INT'!$BM$7:$BM$79=$C165)*('Rates &amp; Drop Downs INT'!$BR$7:$BR$79)),0),"")</f>
        <v>0</v>
      </c>
      <c r="AO165" s="1393" cm="1">
        <f t="array" ref="AO165">IFERROR(IF(COUNTIFS($C$48:$C$147,$C165)&gt;0,SUMPRODUCT(('Rates &amp; Drop Downs INT'!$BS$7:$BS$79=AO$166)*('Rates &amp; Drop Downs INT'!$BM$7:$BM$79=$C165)*('Rates &amp; Drop Downs INT'!$BR$7:$BR$79)),0),"")</f>
        <v>0</v>
      </c>
      <c r="AP165" s="1393" cm="1">
        <f t="array" ref="AP165">IFERROR(IF(COUNTIFS($C$48:$C$147,$C165)&gt;0,SUMPRODUCT(('Rates &amp; Drop Downs INT'!$BS$7:$BS$79=AP$166)*('Rates &amp; Drop Downs INT'!$BM$7:$BM$79=$C165)*('Rates &amp; Drop Downs INT'!$BR$7:$BR$79)),0),"")</f>
        <v>0</v>
      </c>
      <c r="AQ165" s="1393" cm="1">
        <f t="array" ref="AQ165">IFERROR(IF(COUNTIFS($C$48:$C$147,$C165)&gt;0,SUMPRODUCT(('Rates &amp; Drop Downs INT'!$BS$7:$BS$79=AQ$166)*('Rates &amp; Drop Downs INT'!$BM$7:$BM$79=$C165)*('Rates &amp; Drop Downs INT'!$BR$7:$BR$79)),0),"")</f>
        <v>0</v>
      </c>
      <c r="AR165" s="1393" cm="1">
        <f t="array" ref="AR165">IFERROR(IF(COUNTIFS($C$48:$C$147,$C165)&gt;0,SUMPRODUCT(('Rates &amp; Drop Downs INT'!$BS$7:$BS$79=AR$166)*('Rates &amp; Drop Downs INT'!$BM$7:$BM$79=$C165)*('Rates &amp; Drop Downs INT'!$BR$7:$BR$79)),0),"")</f>
        <v>0</v>
      </c>
      <c r="AS165" s="1393" cm="1">
        <f t="array" ref="AS165">IFERROR(IF(COUNTIFS($C$48:$C$147,$C165)&gt;0,SUMPRODUCT(('Rates &amp; Drop Downs INT'!$BS$7:$BS$79=AS$166)*('Rates &amp; Drop Downs INT'!$BM$7:$BM$79=$C165)*('Rates &amp; Drop Downs INT'!$BR$7:$BR$79)),0),"")</f>
        <v>0</v>
      </c>
      <c r="AT165" s="1393" cm="1">
        <f t="array" ref="AT165">IFERROR(IF(COUNTIFS($C$48:$C$147,$C165)&gt;0,SUMPRODUCT(('Rates &amp; Drop Downs INT'!$BS$7:$BS$79=AT$166)*('Rates &amp; Drop Downs INT'!$BM$7:$BM$79=$C165)*('Rates &amp; Drop Downs INT'!$BR$7:$BR$79)),0),"")</f>
        <v>0</v>
      </c>
      <c r="AU165" s="1393" cm="1">
        <f t="array" ref="AU165">IFERROR(IF(COUNTIFS($C$48:$C$147,$C165)&gt;0,SUMPRODUCT(('Rates &amp; Drop Downs INT'!$BS$7:$BS$79=AU$166)*('Rates &amp; Drop Downs INT'!$BM$7:$BM$79=$C165)*('Rates &amp; Drop Downs INT'!$BR$7:$BR$79)),0),"")</f>
        <v>0</v>
      </c>
      <c r="AV165" s="1393" cm="1">
        <f t="array" ref="AV165">IFERROR(IF(COUNTIFS($C$48:$C$147,$C165)&gt;0,SUMPRODUCT(('Rates &amp; Drop Downs INT'!$BS$7:$BS$79=AV$166)*('Rates &amp; Drop Downs INT'!$BM$7:$BM$79=$C165)*('Rates &amp; Drop Downs INT'!$BR$7:$BR$79)),0),"")</f>
        <v>0</v>
      </c>
      <c r="AW165" s="1393" cm="1">
        <f t="array" ref="AW165">IFERROR(IF(COUNTIFS($C$48:$C$147,$C165)&gt;0,SUMPRODUCT(('Rates &amp; Drop Downs INT'!$BS$7:$BS$79=AW$166)*('Rates &amp; Drop Downs INT'!$BM$7:$BM$79=$C165)*('Rates &amp; Drop Downs INT'!$BR$7:$BR$79)),0),"")</f>
        <v>0</v>
      </c>
      <c r="AX165" s="1393" cm="1">
        <f t="array" ref="AX165">IFERROR(IF(COUNTIFS($C$48:$C$147,$C165)&gt;0,SUMPRODUCT(('Rates &amp; Drop Downs INT'!$BS$7:$BS$79=AX$166)*('Rates &amp; Drop Downs INT'!$BM$7:$BM$79=$C165)*('Rates &amp; Drop Downs INT'!$BR$7:$BR$79)),0),"")</f>
        <v>0</v>
      </c>
      <c r="AY165" s="1393" cm="1">
        <f t="array" ref="AY165">IFERROR(IF(COUNTIFS($C$48:$C$147,$C165)&gt;0,SUMPRODUCT(('Rates &amp; Drop Downs INT'!$BS$7:$BS$79=AY$166)*('Rates &amp; Drop Downs INT'!$BM$7:$BM$79=$C165)*('Rates &amp; Drop Downs INT'!$BR$7:$BR$79)),0),"")</f>
        <v>0</v>
      </c>
      <c r="AZ165" s="1393" cm="1">
        <f t="array" ref="AZ165">IFERROR(IF(COUNTIFS($C$48:$C$147,$C165)&gt;0,SUMPRODUCT(('Rates &amp; Drop Downs INT'!$BS$7:$BS$79=AZ$166)*('Rates &amp; Drop Downs INT'!$BM$7:$BM$79=$C165)*('Rates &amp; Drop Downs INT'!$BR$7:$BR$79)),0),"")</f>
        <v>0</v>
      </c>
      <c r="BA165" s="1393" cm="1">
        <f t="array" ref="BA165">IFERROR(IF(COUNTIFS($C$48:$C$147,$C165)&gt;0,SUMPRODUCT(('Rates &amp; Drop Downs INT'!$BS$7:$BS$79=BA$166)*('Rates &amp; Drop Downs INT'!$BM$7:$BM$79=$C165)*('Rates &amp; Drop Downs INT'!$BR$7:$BR$79)),0),"")</f>
        <v>0</v>
      </c>
      <c r="BB165" s="1393" cm="1">
        <f t="array" ref="BB165">IFERROR(IF(COUNTIFS($C$48:$C$147,$C165)&gt;0,SUMPRODUCT(('Rates &amp; Drop Downs INT'!$BS$7:$BS$79=BB$166)*('Rates &amp; Drop Downs INT'!$BM$7:$BM$79=$C165)*('Rates &amp; Drop Downs INT'!$BR$7:$BR$79)),0),"")</f>
        <v>0</v>
      </c>
      <c r="BC165" s="1393" cm="1">
        <f t="array" ref="BC165">IFERROR(IF(COUNTIFS($C$48:$C$147,$C165)&gt;0,SUMPRODUCT(('Rates &amp; Drop Downs INT'!$BS$7:$BS$79=BC$166)*('Rates &amp; Drop Downs INT'!$BM$7:$BM$79=$C165)*('Rates &amp; Drop Downs INT'!$BR$7:$BR$79)),0),"")</f>
        <v>0</v>
      </c>
      <c r="BD165" s="1393" cm="1">
        <f t="array" ref="BD165">IFERROR(IF(COUNTIFS($C$48:$C$147,$C165)&gt;0,SUMPRODUCT(('Rates &amp; Drop Downs INT'!$BS$7:$BS$79=BD$166)*('Rates &amp; Drop Downs INT'!$BM$7:$BM$79=$C165)*('Rates &amp; Drop Downs INT'!$BR$7:$BR$79)),0),"")</f>
        <v>0</v>
      </c>
      <c r="BE165" s="1393" cm="1">
        <f t="array" ref="BE165">IFERROR(IF(COUNTIFS($C$48:$C$147,$C165)&gt;0,SUMPRODUCT(('Rates &amp; Drop Downs INT'!$BS$7:$BS$79=BE$166)*('Rates &amp; Drop Downs INT'!$BM$7:$BM$79=$C165)*('Rates &amp; Drop Downs INT'!$BR$7:$BR$79)),0),"")</f>
        <v>0</v>
      </c>
      <c r="BF165" s="1393" cm="1">
        <f t="array" ref="BF165">IFERROR(IF(COUNTIFS($C$48:$C$147,$C165)&gt;0,SUMPRODUCT(('Rates &amp; Drop Downs INT'!$BS$7:$BS$79=BF$166)*('Rates &amp; Drop Downs INT'!$BM$7:$BM$79=$C165)*('Rates &amp; Drop Downs INT'!$BR$7:$BR$79)),0),"")</f>
        <v>0</v>
      </c>
      <c r="BG165" s="1393" cm="1">
        <f t="array" ref="BG165">IFERROR(IF(COUNTIFS($C$48:$C$147,$C165)&gt;0,SUMPRODUCT(('Rates &amp; Drop Downs INT'!$BS$7:$BS$79=BG$166)*('Rates &amp; Drop Downs INT'!$BM$7:$BM$79=$C165)*('Rates &amp; Drop Downs INT'!$BR$7:$BR$79)),0),"")</f>
        <v>0</v>
      </c>
      <c r="BH165" s="1393" cm="1">
        <f t="array" ref="BH165">IFERROR(IF(COUNTIFS($C$48:$C$147,$C165)&gt;0,SUMPRODUCT(('Rates &amp; Drop Downs INT'!$BS$7:$BS$79=BH$166)*('Rates &amp; Drop Downs INT'!$BM$7:$BM$79=$C165)*('Rates &amp; Drop Downs INT'!$BR$7:$BR$79)),0),"")</f>
        <v>0</v>
      </c>
      <c r="BI165" s="1393" cm="1">
        <f t="array" ref="BI165">IFERROR(IF(COUNTIFS($C$48:$C$147,$C165)&gt;0,SUMPRODUCT(('Rates &amp; Drop Downs INT'!$BS$7:$BS$79=BI$166)*('Rates &amp; Drop Downs INT'!$BM$7:$BM$79=$C165)*('Rates &amp; Drop Downs INT'!$BR$7:$BR$79)),0),"")</f>
        <v>0</v>
      </c>
      <c r="BJ165" s="1393" cm="1">
        <f t="array" ref="BJ165">IFERROR(IF(COUNTIFS($C$48:$C$147,$C165)&gt;0,SUMPRODUCT(('Rates &amp; Drop Downs INT'!$BS$7:$BS$79=BJ$166)*('Rates &amp; Drop Downs INT'!$BM$7:$BM$79=$C165)*('Rates &amp; Drop Downs INT'!$BR$7:$BR$79)),0),"")</f>
        <v>0</v>
      </c>
      <c r="BK165" s="1393" cm="1">
        <f t="array" ref="BK165">IFERROR(IF(COUNTIFS($C$48:$C$147,$C165)&gt;0,SUMPRODUCT(('Rates &amp; Drop Downs INT'!$BS$7:$BS$79=BK$166)*('Rates &amp; Drop Downs INT'!$BM$7:$BM$79=$C165)*('Rates &amp; Drop Downs INT'!$BR$7:$BR$79)),0),"")</f>
        <v>0</v>
      </c>
      <c r="BL165" s="1393" cm="1">
        <f t="array" ref="BL165">IFERROR(IF(COUNTIFS($C$48:$C$147,$C165)&gt;0,SUMPRODUCT(('Rates &amp; Drop Downs INT'!$BS$7:$BS$79=BL$166)*('Rates &amp; Drop Downs INT'!$BM$7:$BM$79=$C165)*('Rates &amp; Drop Downs INT'!$BR$7:$BR$79)),0),"")</f>
        <v>0</v>
      </c>
      <c r="BM165" s="1394" cm="1">
        <f t="array" ref="BM165">IFERROR(IF(COUNTIFS($C$48:$C$147,$C165)&gt;0,SUMPRODUCT(('Rates &amp; Drop Downs INT'!$BS$7:$BS$79=BM$166)*('Rates &amp; Drop Downs INT'!$BM$7:$BM$79=$C165)*('Rates &amp; Drop Downs INT'!$BR$7:$BR$79)),0),"")</f>
        <v>0</v>
      </c>
      <c r="BN165" s="1395" cm="1">
        <f t="array" ref="BN165">IFERROR(IF(COUNTIFS($C$48:$C$147,$C165)&gt;0,SUMPRODUCT(('Rates &amp; Drop Downs INT'!$BS$7:$BS$79=BN$166)*('Rates &amp; Drop Downs INT'!$BM$7:$BM$79=$C165)*('Rates &amp; Drop Downs INT'!$BR$7:$BR$79)),0),"")</f>
        <v>0</v>
      </c>
      <c r="BO165" s="1395" cm="1">
        <f t="array" ref="BO165">IFERROR(IF(COUNTIFS($C$48:$C$147,$C165)&gt;0,SUMPRODUCT(('Rates &amp; Drop Downs INT'!$BS$7:$BS$79=BO$166)*('Rates &amp; Drop Downs INT'!$BM$7:$BM$79=$C165)*('Rates &amp; Drop Downs INT'!$BR$7:$BR$79)),0),"")</f>
        <v>0</v>
      </c>
      <c r="BP165" s="413"/>
      <c r="BQ165" s="413"/>
      <c r="BR165" s="413"/>
      <c r="BS165" s="413"/>
      <c r="BT165" s="413"/>
      <c r="BU165" s="413"/>
      <c r="BV165" s="413"/>
      <c r="BW165" s="413"/>
      <c r="BX165" s="413"/>
      <c r="BY165" s="413"/>
      <c r="BZ165" s="413"/>
      <c r="CA165" s="413"/>
      <c r="CB165" s="413"/>
      <c r="CC165" s="413"/>
      <c r="CD165" s="413"/>
      <c r="CE165" s="413"/>
      <c r="CF165" s="413"/>
      <c r="CG165" s="413"/>
      <c r="CH165" s="413"/>
      <c r="CI165" s="413"/>
      <c r="CJ165" s="413"/>
      <c r="CK165" s="413"/>
      <c r="CL165" s="413"/>
      <c r="CM165" s="413"/>
      <c r="CN165" s="413"/>
      <c r="CO165" s="413"/>
      <c r="CP165" s="413"/>
      <c r="CQ165" s="413"/>
    </row>
    <row r="166" spans="3:95" hidden="1" x14ac:dyDescent="0.3">
      <c r="D166" s="569" t="s">
        <v>2160</v>
      </c>
      <c r="E166" s="883"/>
      <c r="F166" s="883">
        <f>IF(WEEKDAY(F158,1)=2,F158,F158-WEEKDAY(F158,1)+2)</f>
        <v>45915</v>
      </c>
      <c r="G166" s="883"/>
      <c r="H166" s="883"/>
      <c r="I166" s="883">
        <f>IF(WEEKDAY(I158,1)=2,I158,I158-WEEKDAY(I158,1)+2)</f>
        <v>45922</v>
      </c>
      <c r="J166" s="883"/>
      <c r="K166" s="883">
        <f t="shared" ref="K166:AB166" si="72">IF(WEEKDAY(K158,1)=2,K158,K158-WEEKDAY(K158,1)+2)</f>
        <v>45929</v>
      </c>
      <c r="L166" s="883">
        <f t="shared" si="72"/>
        <v>45936</v>
      </c>
      <c r="M166" s="883">
        <f t="shared" si="72"/>
        <v>45943</v>
      </c>
      <c r="N166" s="883">
        <f t="shared" si="72"/>
        <v>45950</v>
      </c>
      <c r="O166" s="883">
        <f t="shared" si="72"/>
        <v>45957</v>
      </c>
      <c r="P166" s="883">
        <f t="shared" si="72"/>
        <v>45964</v>
      </c>
      <c r="Q166" s="883">
        <f t="shared" si="72"/>
        <v>45971</v>
      </c>
      <c r="R166" s="897">
        <f t="shared" si="72"/>
        <v>45978</v>
      </c>
      <c r="S166" s="901">
        <f t="shared" si="72"/>
        <v>45985</v>
      </c>
      <c r="T166" s="901">
        <f t="shared" si="72"/>
        <v>45992</v>
      </c>
      <c r="U166" s="901">
        <f t="shared" si="72"/>
        <v>45999</v>
      </c>
      <c r="V166" s="901"/>
      <c r="W166" s="901"/>
      <c r="X166" s="901"/>
      <c r="Y166" s="901">
        <f t="shared" si="72"/>
        <v>46006</v>
      </c>
      <c r="Z166" s="901">
        <f t="shared" si="72"/>
        <v>46013</v>
      </c>
      <c r="AA166" s="901">
        <f t="shared" si="72"/>
        <v>46020</v>
      </c>
      <c r="AB166" s="901">
        <f t="shared" si="72"/>
        <v>46027</v>
      </c>
      <c r="AC166" s="901"/>
      <c r="AH166" s="901">
        <f t="shared" ref="AH166:BN166" si="73">IF(WEEKDAY(AH158,1)=2,AH158,AH158-WEEKDAY(AH158,1)+2)</f>
        <v>46041</v>
      </c>
      <c r="AI166" s="901">
        <f t="shared" si="73"/>
        <v>46048</v>
      </c>
      <c r="AJ166" s="901">
        <f t="shared" si="73"/>
        <v>46055</v>
      </c>
      <c r="AK166" s="901">
        <f t="shared" si="73"/>
        <v>46062</v>
      </c>
      <c r="AL166" s="901">
        <f t="shared" si="73"/>
        <v>46069</v>
      </c>
      <c r="AM166" s="901">
        <f t="shared" si="73"/>
        <v>46076</v>
      </c>
      <c r="AN166" s="901">
        <f t="shared" si="73"/>
        <v>46083</v>
      </c>
      <c r="AO166" s="901">
        <f t="shared" si="73"/>
        <v>46090</v>
      </c>
      <c r="AP166" s="901">
        <f t="shared" si="73"/>
        <v>46097</v>
      </c>
      <c r="AQ166" s="901">
        <f t="shared" si="73"/>
        <v>46104</v>
      </c>
      <c r="AR166" s="901">
        <f t="shared" si="73"/>
        <v>46111</v>
      </c>
      <c r="AS166" s="901">
        <f t="shared" si="73"/>
        <v>46118</v>
      </c>
      <c r="AT166" s="901">
        <f t="shared" si="73"/>
        <v>46125</v>
      </c>
      <c r="AU166" s="901">
        <f t="shared" si="73"/>
        <v>46132</v>
      </c>
      <c r="AV166" s="901">
        <f t="shared" si="73"/>
        <v>46139</v>
      </c>
      <c r="AW166" s="901">
        <f t="shared" si="73"/>
        <v>46146</v>
      </c>
      <c r="AX166" s="901">
        <f t="shared" si="73"/>
        <v>46153</v>
      </c>
      <c r="AY166" s="901">
        <f t="shared" si="73"/>
        <v>46160</v>
      </c>
      <c r="AZ166" s="901">
        <f t="shared" si="73"/>
        <v>46167</v>
      </c>
      <c r="BA166" s="901">
        <f t="shared" si="73"/>
        <v>46174</v>
      </c>
      <c r="BB166" s="901">
        <f t="shared" si="73"/>
        <v>46181</v>
      </c>
      <c r="BC166" s="901">
        <f t="shared" si="73"/>
        <v>46188</v>
      </c>
      <c r="BD166" s="901">
        <f t="shared" si="73"/>
        <v>46195</v>
      </c>
      <c r="BE166" s="901">
        <f t="shared" si="73"/>
        <v>46202</v>
      </c>
      <c r="BF166" s="901">
        <f t="shared" si="73"/>
        <v>46209</v>
      </c>
      <c r="BG166" s="901">
        <f t="shared" si="73"/>
        <v>46216</v>
      </c>
      <c r="BH166" s="901">
        <f t="shared" si="73"/>
        <v>46223</v>
      </c>
      <c r="BI166" s="901">
        <f t="shared" si="73"/>
        <v>46230</v>
      </c>
      <c r="BJ166" s="901">
        <f t="shared" si="73"/>
        <v>46237</v>
      </c>
      <c r="BK166" s="901">
        <f t="shared" si="73"/>
        <v>46244</v>
      </c>
      <c r="BL166" s="901">
        <f t="shared" si="73"/>
        <v>46251</v>
      </c>
      <c r="BM166" s="1337">
        <f t="shared" si="73"/>
        <v>46258</v>
      </c>
      <c r="BN166" s="1338">
        <f t="shared" si="73"/>
        <v>46265</v>
      </c>
      <c r="BO166" s="1338">
        <f t="shared" ref="BO166" si="74">IF(WEEKDAY(BO158,1)=2,BO158,BO158-WEEKDAY(BO158,1)+2)</f>
        <v>46272</v>
      </c>
      <c r="BP166" s="413"/>
      <c r="BQ166" s="413"/>
      <c r="BR166" s="413"/>
      <c r="BS166" s="413"/>
      <c r="BT166" s="413"/>
      <c r="BU166" s="413"/>
      <c r="BV166" s="413"/>
      <c r="BW166" s="413"/>
      <c r="BX166" s="413"/>
      <c r="BY166" s="413"/>
      <c r="BZ166" s="413"/>
      <c r="CA166" s="413"/>
      <c r="CB166" s="413"/>
      <c r="CC166" s="413"/>
      <c r="CD166" s="413"/>
      <c r="CE166" s="413"/>
      <c r="CF166" s="413"/>
      <c r="CG166" s="413"/>
      <c r="CH166" s="413"/>
      <c r="CI166" s="413"/>
      <c r="CJ166" s="413"/>
      <c r="CK166" s="413"/>
      <c r="CL166" s="413"/>
      <c r="CM166" s="413"/>
      <c r="CN166" s="413"/>
      <c r="CO166" s="413"/>
      <c r="CP166" s="413"/>
      <c r="CQ166" s="413"/>
    </row>
    <row r="167" spans="3:95" hidden="1" x14ac:dyDescent="0.3">
      <c r="D167" s="569"/>
      <c r="E167" s="1225"/>
      <c r="F167" s="1225"/>
      <c r="G167" s="1225"/>
      <c r="H167" s="1225"/>
      <c r="I167" s="1225"/>
      <c r="J167" s="1225"/>
      <c r="K167" s="1225"/>
      <c r="L167" s="1225"/>
      <c r="M167" s="1225"/>
      <c r="N167" s="1225"/>
      <c r="O167" s="1225"/>
      <c r="P167" s="1225"/>
      <c r="Q167" s="1225"/>
      <c r="R167" s="1226"/>
      <c r="S167" s="1215"/>
      <c r="T167" s="1215"/>
      <c r="U167" s="1215"/>
      <c r="V167" s="1215"/>
      <c r="W167" s="1215"/>
      <c r="X167" s="1215"/>
      <c r="Y167" s="1215"/>
      <c r="Z167" s="1215"/>
      <c r="AA167" s="1215"/>
      <c r="AB167" s="1215"/>
      <c r="AC167" s="1215"/>
      <c r="AH167" s="1215"/>
      <c r="AI167" s="1215"/>
      <c r="AJ167" s="1215"/>
      <c r="AK167" s="1215"/>
      <c r="AL167" s="1215"/>
      <c r="AM167" s="1215"/>
      <c r="AN167" s="1215"/>
      <c r="AO167" s="1215"/>
      <c r="AP167" s="1215"/>
      <c r="AQ167" s="1215"/>
      <c r="AR167" s="1215"/>
      <c r="AS167" s="1215"/>
      <c r="AT167" s="1215"/>
      <c r="AU167" s="1215"/>
      <c r="AV167" s="1215"/>
      <c r="AW167" s="1215"/>
      <c r="AX167" s="1215"/>
      <c r="AY167" s="1215"/>
      <c r="AZ167" s="1215"/>
      <c r="BA167" s="1215"/>
      <c r="BB167" s="1215"/>
      <c r="BC167" s="1215"/>
      <c r="BD167" s="1215"/>
      <c r="BE167" s="1215"/>
      <c r="BF167" s="1215"/>
      <c r="BG167" s="1215"/>
      <c r="BH167" s="1215"/>
      <c r="BI167" s="1215"/>
      <c r="BJ167" s="1215"/>
      <c r="BK167" s="1215"/>
      <c r="BL167" s="1215"/>
      <c r="BM167" s="1215"/>
      <c r="BN167" s="1339"/>
      <c r="BO167" s="1339"/>
      <c r="BP167" s="413"/>
      <c r="BQ167" s="413"/>
      <c r="BR167" s="413"/>
      <c r="BS167" s="413"/>
      <c r="BT167" s="413"/>
      <c r="BU167" s="413"/>
      <c r="BV167" s="413"/>
      <c r="BW167" s="413"/>
      <c r="BX167" s="413"/>
      <c r="BY167" s="413"/>
      <c r="BZ167" s="413"/>
      <c r="CA167" s="413"/>
      <c r="CB167" s="413"/>
      <c r="CC167" s="413"/>
      <c r="CD167" s="413"/>
      <c r="CE167" s="413"/>
      <c r="CF167" s="413"/>
      <c r="CG167" s="413"/>
      <c r="CH167" s="413"/>
      <c r="CI167" s="413"/>
      <c r="CJ167" s="413"/>
      <c r="CK167" s="413"/>
      <c r="CL167" s="413"/>
      <c r="CM167" s="413"/>
      <c r="CN167" s="413"/>
      <c r="CO167" s="413"/>
      <c r="CP167" s="413"/>
      <c r="CQ167" s="413"/>
    </row>
    <row r="168" spans="3:95" hidden="1" x14ac:dyDescent="0.3">
      <c r="BN168" s="1340"/>
      <c r="BO168" s="1340"/>
    </row>
    <row r="169" spans="3:95" ht="22" customHeight="1" x14ac:dyDescent="0.3">
      <c r="C169" s="1205" t="s">
        <v>2405</v>
      </c>
      <c r="D169" s="1205" t="s">
        <v>2407</v>
      </c>
      <c r="E169" s="1321"/>
      <c r="F169" s="1321">
        <f>SUM(F170:F269)</f>
        <v>202</v>
      </c>
      <c r="G169" s="1321"/>
      <c r="H169" s="1321"/>
      <c r="I169" s="1321">
        <f>SUM(I170:I269)</f>
        <v>202</v>
      </c>
      <c r="J169" s="1321"/>
      <c r="K169" s="1321">
        <f>SUM(K170:K269)</f>
        <v>202</v>
      </c>
      <c r="L169" s="1321">
        <f t="shared" ref="L169:AB169" si="75">SUM(L170:L269)</f>
        <v>202</v>
      </c>
      <c r="M169" s="1321">
        <f t="shared" si="75"/>
        <v>242</v>
      </c>
      <c r="N169" s="1321">
        <f t="shared" si="75"/>
        <v>242</v>
      </c>
      <c r="O169" s="1321">
        <f t="shared" si="75"/>
        <v>242</v>
      </c>
      <c r="P169" s="1321">
        <f t="shared" si="75"/>
        <v>242</v>
      </c>
      <c r="Q169" s="1321">
        <f t="shared" si="75"/>
        <v>242</v>
      </c>
      <c r="R169" s="1321">
        <f t="shared" si="75"/>
        <v>242</v>
      </c>
      <c r="S169" s="1321">
        <f t="shared" si="75"/>
        <v>242</v>
      </c>
      <c r="T169" s="1321">
        <f t="shared" si="75"/>
        <v>242</v>
      </c>
      <c r="U169" s="1321">
        <f t="shared" si="75"/>
        <v>242</v>
      </c>
      <c r="V169" s="1321"/>
      <c r="W169" s="1321"/>
      <c r="X169" s="1321"/>
      <c r="Y169" s="1321">
        <f t="shared" si="75"/>
        <v>202</v>
      </c>
      <c r="Z169" s="1321">
        <f t="shared" si="75"/>
        <v>202</v>
      </c>
      <c r="AA169" s="1321">
        <f t="shared" si="75"/>
        <v>202</v>
      </c>
      <c r="AB169" s="899">
        <f t="shared" si="75"/>
        <v>202</v>
      </c>
      <c r="AC169" s="899"/>
      <c r="AD169" s="1335"/>
      <c r="AE169" s="1335"/>
      <c r="AF169" s="1335"/>
      <c r="AG169" s="1335">
        <f>SUM(AG170:AG269)</f>
        <v>242</v>
      </c>
      <c r="AH169" s="899">
        <f t="shared" ref="AH169:AI169" si="76">SUM(AH170:AH269)</f>
        <v>242</v>
      </c>
      <c r="AI169" s="899">
        <f t="shared" si="76"/>
        <v>242</v>
      </c>
      <c r="AJ169" s="899">
        <f t="shared" ref="AJ169:BC169" si="77">SUM(AJ170:AJ269)</f>
        <v>242</v>
      </c>
      <c r="AK169" s="899">
        <f t="shared" si="77"/>
        <v>242</v>
      </c>
      <c r="AL169" s="899">
        <f t="shared" si="77"/>
        <v>242</v>
      </c>
      <c r="AM169" s="899">
        <f t="shared" si="77"/>
        <v>242</v>
      </c>
      <c r="AN169" s="899">
        <f t="shared" si="77"/>
        <v>242</v>
      </c>
      <c r="AO169" s="899">
        <f t="shared" si="77"/>
        <v>242</v>
      </c>
      <c r="AP169" s="899">
        <f t="shared" si="77"/>
        <v>242</v>
      </c>
      <c r="AQ169" s="899">
        <f t="shared" si="77"/>
        <v>242</v>
      </c>
      <c r="AR169" s="899">
        <f t="shared" si="77"/>
        <v>242</v>
      </c>
      <c r="AS169" s="899">
        <f t="shared" si="77"/>
        <v>242</v>
      </c>
      <c r="AT169" s="899">
        <f t="shared" si="77"/>
        <v>0</v>
      </c>
      <c r="AU169" s="899">
        <f t="shared" si="77"/>
        <v>0</v>
      </c>
      <c r="AV169" s="899">
        <f t="shared" si="77"/>
        <v>0</v>
      </c>
      <c r="AW169" s="899">
        <f t="shared" si="77"/>
        <v>0</v>
      </c>
      <c r="AX169" s="899">
        <f t="shared" si="77"/>
        <v>0</v>
      </c>
      <c r="AY169" s="899">
        <f t="shared" si="77"/>
        <v>0</v>
      </c>
      <c r="AZ169" s="899">
        <f t="shared" si="77"/>
        <v>0</v>
      </c>
      <c r="BA169" s="899">
        <f t="shared" si="77"/>
        <v>0</v>
      </c>
      <c r="BB169" s="899">
        <f t="shared" si="77"/>
        <v>0</v>
      </c>
      <c r="BC169" s="899">
        <f t="shared" si="77"/>
        <v>0</v>
      </c>
      <c r="BD169" s="899">
        <f t="shared" ref="BD169:BJ169" si="78">SUM(BD170:BD269)</f>
        <v>0</v>
      </c>
      <c r="BE169" s="899">
        <f t="shared" si="78"/>
        <v>0</v>
      </c>
      <c r="BF169" s="899">
        <f t="shared" si="78"/>
        <v>0</v>
      </c>
      <c r="BG169" s="899">
        <f t="shared" si="78"/>
        <v>0</v>
      </c>
      <c r="BH169" s="899">
        <f t="shared" si="78"/>
        <v>0</v>
      </c>
      <c r="BI169" s="899">
        <f t="shared" si="78"/>
        <v>0</v>
      </c>
      <c r="BJ169" s="899">
        <f t="shared" si="78"/>
        <v>0</v>
      </c>
      <c r="BK169" s="899">
        <f t="shared" ref="BK169:BM169" si="79">SUM(BK170:BK269)</f>
        <v>0</v>
      </c>
      <c r="BL169" s="899">
        <f t="shared" si="79"/>
        <v>0</v>
      </c>
      <c r="BM169" s="899">
        <f t="shared" si="79"/>
        <v>0</v>
      </c>
      <c r="BN169" s="1335">
        <f>SUM(BN170:BN269)</f>
        <v>0</v>
      </c>
      <c r="BO169" s="1335">
        <f>SUM(BO170:BO269)</f>
        <v>0</v>
      </c>
      <c r="BP169" s="413"/>
      <c r="BQ169" s="413"/>
      <c r="BR169" s="413"/>
      <c r="BS169" s="413"/>
      <c r="BT169" s="413"/>
      <c r="BU169" s="413"/>
      <c r="BV169" s="413"/>
      <c r="BW169" s="413"/>
      <c r="BX169" s="413"/>
      <c r="BY169" s="413"/>
      <c r="BZ169" s="413"/>
      <c r="CA169" s="413"/>
      <c r="CB169" s="413"/>
      <c r="CC169" s="413"/>
      <c r="CD169" s="413"/>
      <c r="CE169" s="413"/>
      <c r="CF169" s="413"/>
      <c r="CG169" s="413"/>
      <c r="CH169" s="413"/>
      <c r="CI169" s="413"/>
      <c r="CJ169" s="413"/>
      <c r="CK169" s="413"/>
      <c r="CL169" s="413"/>
      <c r="CM169" s="413"/>
      <c r="CN169" s="413"/>
      <c r="CO169" s="413"/>
      <c r="CP169" s="413"/>
      <c r="CQ169" s="413"/>
    </row>
    <row r="170" spans="3:95" x14ac:dyDescent="0.3">
      <c r="C170" s="1289" t="str">
        <f>IF(ISBLANK(Z48),C48,Z48)</f>
        <v>Dallas</v>
      </c>
      <c r="D170" s="1317" t="str">
        <f>IF(K48="","",K48)</f>
        <v>Data Analyst</v>
      </c>
      <c r="E170" s="1322"/>
      <c r="F170" s="1332">
        <f>IF($E$30="Enter Duration (wks)","",IF($Y48="Enter Hrs/Wk","",IF($E$30&gt;='FORMULA REFS'!A$1,$Y48,"")))</f>
        <v>40</v>
      </c>
      <c r="G170" s="1324"/>
      <c r="H170" s="1333"/>
      <c r="I170" s="1325">
        <f>IF($E$30="Enter Duration (wks)","",IF($Y48="Enter Hrs/Wk","",IF($E$30&gt;='FORMULA REFS'!B$1,$Y48,"")))</f>
        <v>40</v>
      </c>
      <c r="J170" s="1325"/>
      <c r="K170" s="1325">
        <f>IF($E$30="Enter Duration (wks)","",IF($Y48="Enter Hrs/Wk","",IF($E$30&gt;='FORMULA REFS'!C$1,$Y48,"")))</f>
        <v>40</v>
      </c>
      <c r="L170" s="1325">
        <f>IF($E$30="Enter Duration (wks)","",IF($Y48="Enter Hrs/Wk","",IF($E$30&gt;='FORMULA REFS'!D$1,$Y48,"")))</f>
        <v>40</v>
      </c>
      <c r="M170" s="1325">
        <f>IF($E$30="Enter Duration (wks)","",IF($Y48="Enter Hrs/Wk","",IF($E$30&gt;='FORMULA REFS'!E$1,$Y48,"")))</f>
        <v>40</v>
      </c>
      <c r="N170" s="1325">
        <f>IF($E$30="Enter Duration (wks)","",IF($Y48="Enter Hrs/Wk","",IF($E$30&gt;='FORMULA REFS'!F$1,$Y48,"")))</f>
        <v>40</v>
      </c>
      <c r="O170" s="1325">
        <f>IF($E$30="Enter Duration (wks)","",IF($Y48="Enter Hrs/Wk","",IF($E$30&gt;='FORMULA REFS'!G$1,$Y48,"")))</f>
        <v>40</v>
      </c>
      <c r="P170" s="1325">
        <f>IF($E$30="Enter Duration (wks)","",IF($Y48="Enter Hrs/Wk","",IF($E$30&gt;='FORMULA REFS'!H$1,$Y48,"")))</f>
        <v>40</v>
      </c>
      <c r="Q170" s="1325">
        <f>IF($E$30="Enter Duration (wks)","",IF($Y48="Enter Hrs/Wk","",IF($E$30&gt;='FORMULA REFS'!I$1,$Y48,"")))</f>
        <v>40</v>
      </c>
      <c r="R170" s="1325">
        <f>IF($E$30="Enter Duration (wks)","",IF($Y48="Enter Hrs/Wk","",IF($E$30&gt;='FORMULA REFS'!J$1,$Y48,"")))</f>
        <v>40</v>
      </c>
      <c r="S170" s="1325">
        <f>IF($E$30="Enter Duration (wks)","",IF($Y48="Enter Hrs/Wk","",IF($E$30&gt;='FORMULA REFS'!K$1,$Y48,"")))</f>
        <v>40</v>
      </c>
      <c r="T170" s="1333">
        <f>IF($E$30="Enter Duration (wks)","",IF($Y48="Enter Hrs/Wk","",IF($E$30&gt;='FORMULA REFS'!L$1,$Y48,"")))</f>
        <v>40</v>
      </c>
      <c r="U170" s="1333">
        <f>IF($E$30="Enter Duration (wks)","",IF($Y48="Enter Hrs/Wk","",IF($E$30&gt;='FORMULA REFS'!M$1,$Y48,"")))</f>
        <v>40</v>
      </c>
      <c r="V170" s="1333"/>
      <c r="W170" s="900"/>
      <c r="X170" s="1288"/>
      <c r="Y170" s="1288">
        <f>IF($E$30="Enter Duration (wks)","",IF($Y48="Enter Hrs/Wk","",IF($E$30&gt;='FORMULA REFS'!N$1,$Y48,"")))</f>
        <v>40</v>
      </c>
      <c r="Z170" s="1288">
        <f>IF($E$30="Enter Duration (wks)","",IF($Y48="Enter Hrs/Wk","",IF($E$30&gt;='FORMULA REFS'!O$1,$Y48,"")))</f>
        <v>40</v>
      </c>
      <c r="AA170" s="1288">
        <f>IF($E$30="Enter Duration (wks)","",IF($Y48="Enter Hrs/Wk","",IF($E$30&gt;='FORMULA REFS'!P$1,$Y48,"")))</f>
        <v>40</v>
      </c>
      <c r="AB170" s="1288">
        <f>IF($E$30="Enter Duration (wks)","",IF($Y48="Enter Hrs/Wk","",IF($E$30&gt;='FORMULA REFS'!Q$1,$Y48,"")))</f>
        <v>40</v>
      </c>
      <c r="AC170" s="1286"/>
      <c r="AD170" s="1286"/>
      <c r="AE170" s="1286"/>
      <c r="AF170" s="1286"/>
      <c r="AG170" s="1286">
        <f>IF($E$30="Enter Duration (wks)","",IF($Y48="Enter Hrs/Wk","",IF($E$30&gt;='FORMULA REFS'!R$1,$Y48,"")))</f>
        <v>40</v>
      </c>
      <c r="AH170" s="1286">
        <f>IF($E$30="Enter Duration (wks)","",IF($Y48="Enter Hrs/Wk","",IF($E$30&gt;='FORMULA REFS'!S$1,$Y48,"")))</f>
        <v>40</v>
      </c>
      <c r="AI170" s="1286">
        <f>IF($E$30="Enter Duration (wks)","",IF($Y48="Enter Hrs/Wk","",IF($E$30&gt;='FORMULA REFS'!T$1,$Y48,"")))</f>
        <v>40</v>
      </c>
      <c r="AJ170" s="1286">
        <f>IF($E$30="Enter Duration (wks)","",IF($Y48="Enter Hrs/Wk","",IF($E$30&gt;='FORMULA REFS'!U$1,$Y48,"")))</f>
        <v>40</v>
      </c>
      <c r="AK170" s="1286">
        <f>IF($E$30="Enter Duration (wks)","",IF($Y48="Enter Hrs/Wk","",IF($E$30&gt;='FORMULA REFS'!V$1,$Y48,"")))</f>
        <v>40</v>
      </c>
      <c r="AL170" s="1286">
        <f>IF($E$30="Enter Duration (wks)","",IF($Y48="Enter Hrs/Wk","",IF($E$30&gt;='FORMULA REFS'!W$1,$Y48,"")))</f>
        <v>40</v>
      </c>
      <c r="AM170" s="1286">
        <f>IF($E$30="Enter Duration (wks)","",IF($Y48="Enter Hrs/Wk","",IF($E$30&gt;='FORMULA REFS'!X$1,$Y48,"")))</f>
        <v>40</v>
      </c>
      <c r="AN170" s="1286">
        <f>IF($E$30="Enter Duration (wks)","",IF($Y48="Enter Hrs/Wk","",IF($E$30&gt;='FORMULA REFS'!Y$1,$Y48,"")))</f>
        <v>40</v>
      </c>
      <c r="AO170" s="1286">
        <f>IF($E$30="Enter Duration (wks)","",IF($Y48="Enter Hrs/Wk","",IF($E$30&gt;='FORMULA REFS'!Z$1,$Y48,"")))</f>
        <v>40</v>
      </c>
      <c r="AP170" s="1286">
        <f>IF($E$30="Enter Duration (wks)","",IF($Y48="Enter Hrs/Wk","",IF($E$30&gt;='FORMULA REFS'!AA$1,$Y48,"")))</f>
        <v>40</v>
      </c>
      <c r="AQ170" s="1286">
        <f>IF($E$30="Enter Duration (wks)","",IF($Y48="Enter Hrs/Wk","",IF($E$30&gt;='FORMULA REFS'!AB$1,$Y48,"")))</f>
        <v>40</v>
      </c>
      <c r="AR170" s="1286">
        <f>IF($E$30="Enter Duration (wks)","",IF($Y48="Enter Hrs/Wk","",IF($E$30&gt;='FORMULA REFS'!AC$1,$Y48,"")))</f>
        <v>40</v>
      </c>
      <c r="AS170" s="1286">
        <f>IF($E$30="Enter Duration (wks)","",IF($Y48="Enter Hrs/Wk","",IF($E$30&gt;='FORMULA REFS'!AD$1,$Y48,"")))</f>
        <v>40</v>
      </c>
      <c r="AT170" s="1286" t="str">
        <f>IF($E$30="Enter Duration (wks)","",IF($Y48="Enter Hrs/Wk","",IF($E$30&gt;='FORMULA REFS'!AE$1,$Y48,"")))</f>
        <v/>
      </c>
      <c r="AU170" s="1286" t="str">
        <f>IF($E$30="Enter Duration (wks)","",IF($Y48="Enter Hrs/Wk","",IF($E$30&gt;='FORMULA REFS'!AF$1,$Y48,"")))</f>
        <v/>
      </c>
      <c r="AV170" s="1286" t="str">
        <f>IF($E$30="Enter Duration (wks)","",IF($Y48="Enter Hrs/Wk","",IF($E$30&gt;='FORMULA REFS'!AG$1,$Y48,"")))</f>
        <v/>
      </c>
      <c r="AW170" s="1286" t="str">
        <f>IF($E$30="Enter Duration (wks)","",IF($Y48="Enter Hrs/Wk","",IF($E$30&gt;='FORMULA REFS'!AH$1,$Y48,"")))</f>
        <v/>
      </c>
      <c r="AX170" s="1286" t="str">
        <f>IF($E$30="Enter Duration (wks)","",IF($Y48="Enter Hrs/Wk","",IF($E$30&gt;='FORMULA REFS'!AI$1,$Y48,"")))</f>
        <v/>
      </c>
      <c r="AY170" s="1286" t="str">
        <f>IF($E$30="Enter Duration (wks)","",IF($Y48="Enter Hrs/Wk","",IF($E$30&gt;='FORMULA REFS'!AJ$1,$Y48,"")))</f>
        <v/>
      </c>
      <c r="AZ170" s="1286" t="str">
        <f>IF($E$30="Enter Duration (wks)","",IF($Y48="Enter Hrs/Wk","",IF($E$30&gt;='FORMULA REFS'!AK$1,$Y48,"")))</f>
        <v/>
      </c>
      <c r="BA170" s="1286" t="str">
        <f>IF($E$30="Enter Duration (wks)","",IF($Y48="Enter Hrs/Wk","",IF($E$30&gt;='FORMULA REFS'!AL$1,$Y48,"")))</f>
        <v/>
      </c>
      <c r="BB170" s="1286" t="str">
        <f>IF($E$30="Enter Duration (wks)","",IF($Y48="Enter Hrs/Wk","",IF($E$30&gt;='FORMULA REFS'!AM$1,$Y48,"")))</f>
        <v/>
      </c>
      <c r="BC170" s="1286" t="str">
        <f>IF($E$30="Enter Duration (wks)","",IF($Y48="Enter Hrs/Wk","",IF($E$30&gt;='FORMULA REFS'!AN$1,$Y48,"")))</f>
        <v/>
      </c>
      <c r="BD170" s="1286" t="str">
        <f>IF($E$30="Enter Duration (wks)","",IF($Y48="Enter Hrs/Wk","",IF($E$30&gt;='FORMULA REFS'!AO$1,$Y48,"")))</f>
        <v/>
      </c>
      <c r="BE170" s="1286" t="str">
        <f>IF($E$30="Enter Duration (wks)","",IF($Y48="Enter Hrs/Wk","",IF($E$30&gt;='FORMULA REFS'!AP$1,$Y48,"")))</f>
        <v/>
      </c>
      <c r="BF170" s="1286" t="str">
        <f>IF($E$30="Enter Duration (wks)","",IF($Y48="Enter Hrs/Wk","",IF($E$30&gt;='FORMULA REFS'!AQ$1,$Y48,"")))</f>
        <v/>
      </c>
      <c r="BG170" s="1286" t="str">
        <f>IF($E$30="Enter Duration (wks)","",IF($Y48="Enter Hrs/Wk","",IF($E$30&gt;='FORMULA REFS'!AR$1,$Y48,"")))</f>
        <v/>
      </c>
      <c r="BH170" s="1286" t="str">
        <f>IF($E$30="Enter Duration (wks)","",IF($Y48="Enter Hrs/Wk","",IF($E$30&gt;='FORMULA REFS'!AS$1,$Y48,"")))</f>
        <v/>
      </c>
      <c r="BI170" s="1286" t="str">
        <f>IF($E$30="Enter Duration (wks)","",IF($Y48="Enter Hrs/Wk","",IF($E$30&gt;='FORMULA REFS'!AT$1,$Y48,"")))</f>
        <v/>
      </c>
      <c r="BJ170" s="1286" t="str">
        <f>IF($E$30="Enter Duration (wks)","",IF($Y48="Enter Hrs/Wk","",IF($E$30&gt;='FORMULA REFS'!AU$1,$Y48,"")))</f>
        <v/>
      </c>
      <c r="BK170" s="1286" t="str">
        <f>IF($E$30="Enter Duration (wks)","",IF($Y48="Enter Hrs/Wk","",IF($E$30&gt;='FORMULA REFS'!AV$1,$Y48,"")))</f>
        <v/>
      </c>
      <c r="BL170" s="1286" t="str">
        <f>IF($E$30="Enter Duration (wks)","",IF($Y48="Enter Hrs/Wk","",IF($E$30&gt;='FORMULA REFS'!AW$1,$Y48,"")))</f>
        <v/>
      </c>
      <c r="BM170" s="1286" t="str">
        <f>IF($E$30="Enter Duration (wks)","",IF($Y48="Enter Hrs/Wk","",IF($E$30&gt;='FORMULA REFS'!AX$1,$Y48,"")))</f>
        <v/>
      </c>
      <c r="BN170" s="1286" t="str">
        <f>IF($E$30="Enter Duration (wks)","",IF($Y48="Enter Hrs/Wk","",IF($E$30&gt;='FORMULA REFS'!AY$1,$Y48,"")))</f>
        <v/>
      </c>
      <c r="BO170" s="1286" t="str">
        <f>IF($E$30="Enter Duration (wks)","",IF($Y48="Enter Hrs/Wk","",IF($E$30&gt;='FORMULA REFS'!AZ$1,$Y48,"")))</f>
        <v/>
      </c>
      <c r="BP170" s="533"/>
      <c r="BQ170" s="533"/>
      <c r="BR170" s="533"/>
      <c r="BS170" s="533"/>
      <c r="BT170" s="533"/>
      <c r="BU170" s="533"/>
      <c r="BV170" s="533"/>
      <c r="BW170" s="533"/>
      <c r="BX170" s="533"/>
      <c r="BY170" s="533"/>
      <c r="BZ170" s="533"/>
      <c r="CA170" s="533"/>
      <c r="CB170" s="534"/>
      <c r="CC170" s="534"/>
      <c r="CD170" s="534"/>
      <c r="CE170" s="529"/>
      <c r="CF170" s="529"/>
      <c r="CG170" s="529"/>
      <c r="CH170" s="535"/>
      <c r="CI170" s="536"/>
      <c r="CJ170" s="537"/>
      <c r="CK170" s="537"/>
      <c r="CL170" s="413"/>
      <c r="CM170" s="413"/>
      <c r="CN170" s="413"/>
      <c r="CO170" s="413"/>
      <c r="CP170" s="413"/>
      <c r="CQ170" s="413"/>
    </row>
    <row r="171" spans="3:95" x14ac:dyDescent="0.3">
      <c r="C171" s="1290" t="str">
        <f t="shared" ref="C171:C202" si="80">IF(ISBLANK(C49),"",C49)</f>
        <v>TADIndia</v>
      </c>
      <c r="D171" s="1318" t="str">
        <f>IF(K49="","",K49)</f>
        <v>Data Analyst</v>
      </c>
      <c r="E171" s="1326"/>
      <c r="F171" s="1327"/>
      <c r="G171" s="1327"/>
      <c r="H171" s="1570"/>
      <c r="I171" s="1329"/>
      <c r="J171" s="1316"/>
      <c r="K171" s="1286"/>
      <c r="L171" s="1331"/>
      <c r="M171" s="1331">
        <f>IF($E$30="Enter Duration (wks)","",IF($Y49="Enter Hrs/Wk","",IF($E$30&gt;='FORMULA REFS'!E$1,$Y49,"")))</f>
        <v>40</v>
      </c>
      <c r="N171" s="1331">
        <f>IF($E$30="Enter Duration (wks)","",IF($Y49="Enter Hrs/Wk","",IF($E$30&gt;='FORMULA REFS'!F$1,$Y49,"")))</f>
        <v>40</v>
      </c>
      <c r="O171" s="1331">
        <f>IF($E$30="Enter Duration (wks)","",IF($Y49="Enter Hrs/Wk","",IF($E$30&gt;='FORMULA REFS'!G$1,$Y49,"")))</f>
        <v>40</v>
      </c>
      <c r="P171" s="1331">
        <f>IF($E$30="Enter Duration (wks)","",IF($Y49="Enter Hrs/Wk","",IF($E$30&gt;='FORMULA REFS'!H$1,$Y49,"")))</f>
        <v>40</v>
      </c>
      <c r="Q171" s="1331">
        <f>IF($E$30="Enter Duration (wks)","",IF($Y49="Enter Hrs/Wk","",IF($E$30&gt;='FORMULA REFS'!I$1,$Y49,"")))</f>
        <v>40</v>
      </c>
      <c r="R171" s="1331">
        <f>IF($E$30="Enter Duration (wks)","",IF($Y49="Enter Hrs/Wk","",IF($E$30&gt;='FORMULA REFS'!J$1,$Y49,"")))</f>
        <v>40</v>
      </c>
      <c r="S171" s="1331">
        <f>IF($E$30="Enter Duration (wks)","",IF($Y49="Enter Hrs/Wk","",IF($E$30&gt;='FORMULA REFS'!K$1,$Y49,"")))</f>
        <v>40</v>
      </c>
      <c r="T171" s="1316">
        <f>IF($E$30="Enter Duration (wks)","",IF($Y49="Enter Hrs/Wk","",IF($E$30&gt;='FORMULA REFS'!L$1,$Y49,"")))</f>
        <v>40</v>
      </c>
      <c r="U171" s="882">
        <f>IF($E$30="Enter Duration (wks)","",IF($Y49="Enter Hrs/Wk","",IF($E$30&gt;='FORMULA REFS'!M$1,$Y49,"")))</f>
        <v>40</v>
      </c>
      <c r="V171" s="1331"/>
      <c r="W171" s="1331"/>
      <c r="X171" s="1285"/>
      <c r="Y171" s="1285"/>
      <c r="Z171" s="1343"/>
      <c r="AA171" s="882"/>
      <c r="AB171" s="882"/>
      <c r="AC171" s="882"/>
      <c r="AD171" s="882"/>
      <c r="AE171" s="882"/>
      <c r="AF171" s="882"/>
      <c r="AG171" s="1286">
        <f>IF($E$30="Enter Duration (wks)","",IF($Y49="Enter Hrs/Wk","",IF($E$30&gt;='FORMULA REFS'!R$1,$Y49,"")))</f>
        <v>40</v>
      </c>
      <c r="AH171" s="1286">
        <f>IF($E$30="Enter Duration (wks)","",IF($Y49="Enter Hrs/Wk","",IF($E$30&gt;='FORMULA REFS'!S$1,$Y49,"")))</f>
        <v>40</v>
      </c>
      <c r="AI171" s="1286">
        <f>IF($E$30="Enter Duration (wks)","",IF($Y49="Enter Hrs/Wk","",IF($E$30&gt;='FORMULA REFS'!T$1,$Y49,"")))</f>
        <v>40</v>
      </c>
      <c r="AJ171" s="1286">
        <f>IF($E$30="Enter Duration (wks)","",IF($Y49="Enter Hrs/Wk","",IF($E$30&gt;='FORMULA REFS'!U$1,$Y49,"")))</f>
        <v>40</v>
      </c>
      <c r="AK171" s="1286">
        <f>IF($E$30="Enter Duration (wks)","",IF($Y49="Enter Hrs/Wk","",IF($E$30&gt;='FORMULA REFS'!V$1,$Y49,"")))</f>
        <v>40</v>
      </c>
      <c r="AL171" s="1286">
        <f>IF($E$30="Enter Duration (wks)","",IF($Y49="Enter Hrs/Wk","",IF($E$30&gt;='FORMULA REFS'!W$1,$Y49,"")))</f>
        <v>40</v>
      </c>
      <c r="AM171" s="1286">
        <f>IF($E$30="Enter Duration (wks)","",IF($Y49="Enter Hrs/Wk","",IF($E$30&gt;='FORMULA REFS'!X$1,$Y49,"")))</f>
        <v>40</v>
      </c>
      <c r="AN171" s="1286">
        <f>IF($E$30="Enter Duration (wks)","",IF($Y49="Enter Hrs/Wk","",IF($E$30&gt;='FORMULA REFS'!Y$1,$Y49,"")))</f>
        <v>40</v>
      </c>
      <c r="AO171" s="1286">
        <f>IF($E$30="Enter Duration (wks)","",IF($Y49="Enter Hrs/Wk","",IF($E$30&gt;='FORMULA REFS'!Z$1,$Y49,"")))</f>
        <v>40</v>
      </c>
      <c r="AP171" s="1286">
        <f>IF($E$30="Enter Duration (wks)","",IF($Y49="Enter Hrs/Wk","",IF($E$30&gt;='FORMULA REFS'!AA$1,$Y49,"")))</f>
        <v>40</v>
      </c>
      <c r="AQ171" s="1286">
        <f>IF($E$30="Enter Duration (wks)","",IF($Y49="Enter Hrs/Wk","",IF($E$30&gt;='FORMULA REFS'!AB$1,$Y49,"")))</f>
        <v>40</v>
      </c>
      <c r="AR171" s="1286">
        <f>IF($E$30="Enter Duration (wks)","",IF($Y49="Enter Hrs/Wk","",IF($E$30&gt;='FORMULA REFS'!AC$1,$Y49,"")))</f>
        <v>40</v>
      </c>
      <c r="AS171" s="1286">
        <f>IF($E$30="Enter Duration (wks)","",IF($Y49="Enter Hrs/Wk","",IF($E$30&gt;='FORMULA REFS'!AD$1,$Y49,"")))</f>
        <v>40</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38"/>
      <c r="BQ171" s="538"/>
      <c r="BR171" s="538"/>
      <c r="BS171" s="538"/>
      <c r="BT171" s="538"/>
      <c r="BU171" s="538"/>
      <c r="BV171" s="538"/>
      <c r="BW171" s="538"/>
      <c r="BX171" s="538"/>
      <c r="BY171" s="538"/>
      <c r="BZ171" s="538"/>
      <c r="CA171" s="538"/>
      <c r="CB171" s="538"/>
      <c r="CC171" s="538"/>
      <c r="CD171" s="527"/>
      <c r="CE171" s="527"/>
      <c r="CF171" s="527"/>
      <c r="CG171" s="527"/>
      <c r="CH171" s="527"/>
      <c r="CI171" s="527"/>
      <c r="CJ171" s="527"/>
      <c r="CK171" s="527"/>
      <c r="CL171" s="413"/>
      <c r="CM171" s="413"/>
      <c r="CN171" s="413"/>
      <c r="CO171" s="413"/>
      <c r="CP171" s="413"/>
      <c r="CQ171" s="413"/>
    </row>
    <row r="172" spans="3:95" x14ac:dyDescent="0.3">
      <c r="C172" s="1290" t="str">
        <f t="shared" si="80"/>
        <v>TADNorthAmerica</v>
      </c>
      <c r="D172" s="1318" t="str">
        <f>IF(K50="","",K50)</f>
        <v>UX Designer</v>
      </c>
      <c r="E172" s="1326"/>
      <c r="F172" s="1327">
        <f>IF($E$30="Enter Duration (wks)","",IF($Y50="Enter Hrs/Wk","",IF($E$30&gt;='FORMULA REFS'!A$1,$Y50,"")))</f>
        <v>40</v>
      </c>
      <c r="G172" s="1328"/>
      <c r="H172" s="1570"/>
      <c r="I172" s="1329">
        <f>IF($E$30="Enter Duration (wks)","",IF($Y50="Enter Hrs/Wk","",IF($E$30&gt;='FORMULA REFS'!B$1,$Y50,"")))</f>
        <v>40</v>
      </c>
      <c r="J172" s="1323"/>
      <c r="K172" s="1286">
        <f>IF($E$30="Enter Duration (wks)","",IF($Y50="Enter Hrs/Wk","",IF($E$30&gt;='FORMULA REFS'!C$1,$Y50,"")))</f>
        <v>40</v>
      </c>
      <c r="L172" s="882">
        <f>IF($E$30="Enter Duration (wks)","",IF($Y50="Enter Hrs/Wk","",IF($E$30&gt;='FORMULA REFS'!D$1,$Y50,"")))</f>
        <v>40</v>
      </c>
      <c r="M172" s="882">
        <f>IF($E$30="Enter Duration (wks)","",IF($Y50="Enter Hrs/Wk","",IF($E$30&gt;='FORMULA REFS'!E$1,$Y50,"")))</f>
        <v>40</v>
      </c>
      <c r="N172" s="882">
        <f>IF($E$30="Enter Duration (wks)","",IF($Y50="Enter Hrs/Wk","",IF($E$30&gt;='FORMULA REFS'!F$1,$Y50,"")))</f>
        <v>40</v>
      </c>
      <c r="O172" s="882">
        <f>IF($E$30="Enter Duration (wks)","",IF($Y50="Enter Hrs/Wk","",IF($E$30&gt;='FORMULA REFS'!G$1,$Y50,"")))</f>
        <v>40</v>
      </c>
      <c r="P172" s="882">
        <f>IF($E$30="Enter Duration (wks)","",IF($Y50="Enter Hrs/Wk","",IF($E$30&gt;='FORMULA REFS'!H$1,$Y50,"")))</f>
        <v>40</v>
      </c>
      <c r="Q172" s="882">
        <f>IF($E$30="Enter Duration (wks)","",IF($Y50="Enter Hrs/Wk","",IF($E$30&gt;='FORMULA REFS'!I$1,$Y50,"")))</f>
        <v>40</v>
      </c>
      <c r="R172" s="882">
        <f>IF($E$30="Enter Duration (wks)","",IF($Y50="Enter Hrs/Wk","",IF($E$30&gt;='FORMULA REFS'!J$1,$Y50,"")))</f>
        <v>40</v>
      </c>
      <c r="S172" s="882">
        <f>IF($E$30="Enter Duration (wks)","",IF($Y50="Enter Hrs/Wk","",IF($E$30&gt;='FORMULA REFS'!K$1,$Y50,"")))</f>
        <v>40</v>
      </c>
      <c r="T172" s="1323">
        <f>IF($E$30="Enter Duration (wks)","",IF($Y50="Enter Hrs/Wk","",IF($E$30&gt;='FORMULA REFS'!L$1,$Y50,"")))</f>
        <v>40</v>
      </c>
      <c r="U172" s="882">
        <f>IF($E$30="Enter Duration (wks)","",IF($Y50="Enter Hrs/Wk","",IF($E$30&gt;='FORMULA REFS'!M$1,$Y50,"")))</f>
        <v>40</v>
      </c>
      <c r="V172" s="882"/>
      <c r="W172" s="882"/>
      <c r="X172" s="1285"/>
      <c r="Y172" s="1285">
        <f>IF($E$30="Enter Duration (wks)","",IF($Y50="Enter Hrs/Wk","",IF($E$30&gt;='FORMULA REFS'!N$1,$Y50,"")))</f>
        <v>40</v>
      </c>
      <c r="Z172" s="1343">
        <f>IF($E$30="Enter Duration (wks)","",IF($Y50="Enter Hrs/Wk","",IF($E$30&gt;='FORMULA REFS'!O$1,$Y50,"")))</f>
        <v>40</v>
      </c>
      <c r="AA172" s="882">
        <f>IF($E$30="Enter Duration (wks)","",IF($Y50="Enter Hrs/Wk","",IF($E$30&gt;='FORMULA REFS'!P$1,$Y50,"")))</f>
        <v>40</v>
      </c>
      <c r="AB172" s="882">
        <f>IF($E$30="Enter Duration (wks)","",IF($Y50="Enter Hrs/Wk","",IF($E$30&gt;='FORMULA REFS'!Q$1,$Y50,"")))</f>
        <v>40</v>
      </c>
      <c r="AC172" s="882"/>
      <c r="AD172" s="882"/>
      <c r="AE172" s="882"/>
      <c r="AF172" s="882"/>
      <c r="AG172" s="1286">
        <f>IF($E$30="Enter Duration (wks)","",IF($Y50="Enter Hrs/Wk","",IF($E$30&gt;='FORMULA REFS'!R$1,$Y50,"")))</f>
        <v>40</v>
      </c>
      <c r="AH172" s="1286">
        <f>IF($E$30="Enter Duration (wks)","",IF($Y50="Enter Hrs/Wk","",IF($E$30&gt;='FORMULA REFS'!S$1,$Y50,"")))</f>
        <v>40</v>
      </c>
      <c r="AI172" s="1286">
        <f>IF($E$30="Enter Duration (wks)","",IF($Y50="Enter Hrs/Wk","",IF($E$30&gt;='FORMULA REFS'!T$1,$Y50,"")))</f>
        <v>40</v>
      </c>
      <c r="AJ172" s="1286">
        <f>IF($E$30="Enter Duration (wks)","",IF($Y50="Enter Hrs/Wk","",IF($E$30&gt;='FORMULA REFS'!U$1,$Y50,"")))</f>
        <v>40</v>
      </c>
      <c r="AK172" s="1286">
        <f>IF($E$30="Enter Duration (wks)","",IF($Y50="Enter Hrs/Wk","",IF($E$30&gt;='FORMULA REFS'!V$1,$Y50,"")))</f>
        <v>40</v>
      </c>
      <c r="AL172" s="1286">
        <f>IF($E$30="Enter Duration (wks)","",IF($Y50="Enter Hrs/Wk","",IF($E$30&gt;='FORMULA REFS'!W$1,$Y50,"")))</f>
        <v>40</v>
      </c>
      <c r="AM172" s="1286">
        <f>IF($E$30="Enter Duration (wks)","",IF($Y50="Enter Hrs/Wk","",IF($E$30&gt;='FORMULA REFS'!X$1,$Y50,"")))</f>
        <v>40</v>
      </c>
      <c r="AN172" s="1286">
        <f>IF($E$30="Enter Duration (wks)","",IF($Y50="Enter Hrs/Wk","",IF($E$30&gt;='FORMULA REFS'!Y$1,$Y50,"")))</f>
        <v>40</v>
      </c>
      <c r="AO172" s="1286">
        <f>IF($E$30="Enter Duration (wks)","",IF($Y50="Enter Hrs/Wk","",IF($E$30&gt;='FORMULA REFS'!Z$1,$Y50,"")))</f>
        <v>40</v>
      </c>
      <c r="AP172" s="1286">
        <f>IF($E$30="Enter Duration (wks)","",IF($Y50="Enter Hrs/Wk","",IF($E$30&gt;='FORMULA REFS'!AA$1,$Y50,"")))</f>
        <v>40</v>
      </c>
      <c r="AQ172" s="1286">
        <f>IF($E$30="Enter Duration (wks)","",IF($Y50="Enter Hrs/Wk","",IF($E$30&gt;='FORMULA REFS'!AB$1,$Y50,"")))</f>
        <v>40</v>
      </c>
      <c r="AR172" s="1286">
        <f>IF($E$30="Enter Duration (wks)","",IF($Y50="Enter Hrs/Wk","",IF($E$30&gt;='FORMULA REFS'!AC$1,$Y50,"")))</f>
        <v>40</v>
      </c>
      <c r="AS172" s="1286">
        <f>IF($E$30="Enter Duration (wks)","",IF($Y50="Enter Hrs/Wk","",IF($E$30&gt;='FORMULA REFS'!AD$1,$Y50,"")))</f>
        <v>40</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23"/>
      <c r="BQ172" s="523"/>
      <c r="BR172" s="523"/>
      <c r="BS172" s="523"/>
      <c r="BT172" s="523"/>
      <c r="BU172" s="523"/>
      <c r="BV172" s="523"/>
      <c r="BW172" s="523"/>
      <c r="BX172" s="523"/>
      <c r="BY172" s="523"/>
      <c r="BZ172" s="523"/>
      <c r="CA172" s="523"/>
      <c r="CB172" s="539"/>
      <c r="CC172" s="539"/>
      <c r="CD172" s="539"/>
      <c r="CE172" s="540"/>
      <c r="CF172" s="540"/>
      <c r="CG172" s="523"/>
      <c r="CH172" s="523"/>
      <c r="CI172" s="541"/>
      <c r="CJ172" s="523"/>
      <c r="CK172" s="523"/>
      <c r="CL172" s="413"/>
      <c r="CM172" s="413"/>
      <c r="CN172" s="413"/>
      <c r="CO172" s="413"/>
      <c r="CP172" s="413"/>
      <c r="CQ172" s="413"/>
    </row>
    <row r="173" spans="3:95" x14ac:dyDescent="0.3">
      <c r="C173" s="1290" t="str">
        <f t="shared" si="80"/>
        <v>TADIndia</v>
      </c>
      <c r="D173" s="1318" t="str">
        <f>IF(K51="","",K51)</f>
        <v>UX Designer</v>
      </c>
      <c r="E173" s="1326"/>
      <c r="F173" s="1327">
        <f>IF($E$30="Enter Duration (wks)","",IF($Y51="Enter Hrs/Wk","",IF($E$30&gt;='FORMULA REFS'!A$1,$Y51,"")))</f>
        <v>40</v>
      </c>
      <c r="G173" s="1328"/>
      <c r="H173" s="1570"/>
      <c r="I173" s="1329">
        <f>IF($E$30="Enter Duration (wks)","",IF($Y51="Enter Hrs/Wk","",IF($E$30&gt;='FORMULA REFS'!B$1,$Y51,"")))</f>
        <v>40</v>
      </c>
      <c r="J173" s="1323"/>
      <c r="K173" s="1286">
        <f>IF($E$30="Enter Duration (wks)","",IF($Y51="Enter Hrs/Wk","",IF($E$30&gt;='FORMULA REFS'!C$1,$Y51,"")))</f>
        <v>40</v>
      </c>
      <c r="L173" s="882">
        <f>IF($E$30="Enter Duration (wks)","",IF($Y51="Enter Hrs/Wk","",IF($E$30&gt;='FORMULA REFS'!D$1,$Y51,"")))</f>
        <v>40</v>
      </c>
      <c r="M173" s="882">
        <f>IF($E$30="Enter Duration (wks)","",IF($Y51="Enter Hrs/Wk","",IF($E$30&gt;='FORMULA REFS'!E$1,$Y51,"")))</f>
        <v>40</v>
      </c>
      <c r="N173" s="882">
        <f>IF($E$30="Enter Duration (wks)","",IF($Y51="Enter Hrs/Wk","",IF($E$30&gt;='FORMULA REFS'!F$1,$Y51,"")))</f>
        <v>40</v>
      </c>
      <c r="O173" s="882">
        <f>IF($E$30="Enter Duration (wks)","",IF($Y51="Enter Hrs/Wk","",IF($E$30&gt;='FORMULA REFS'!G$1,$Y51,"")))</f>
        <v>40</v>
      </c>
      <c r="P173" s="882">
        <f>IF($E$30="Enter Duration (wks)","",IF($Y51="Enter Hrs/Wk","",IF($E$30&gt;='FORMULA REFS'!H$1,$Y51,"")))</f>
        <v>40</v>
      </c>
      <c r="Q173" s="882">
        <f>IF($E$30="Enter Duration (wks)","",IF($Y51="Enter Hrs/Wk","",IF($E$30&gt;='FORMULA REFS'!I$1,$Y51,"")))</f>
        <v>40</v>
      </c>
      <c r="R173" s="882">
        <f>IF($E$30="Enter Duration (wks)","",IF($Y51="Enter Hrs/Wk","",IF($E$30&gt;='FORMULA REFS'!J$1,$Y51,"")))</f>
        <v>40</v>
      </c>
      <c r="S173" s="882">
        <f>IF($E$30="Enter Duration (wks)","",IF($Y51="Enter Hrs/Wk","",IF($E$30&gt;='FORMULA REFS'!K$1,$Y51,"")))</f>
        <v>40</v>
      </c>
      <c r="T173" s="1323">
        <f>IF($E$30="Enter Duration (wks)","",IF($Y51="Enter Hrs/Wk","",IF($E$30&gt;='FORMULA REFS'!L$1,$Y51,"")))</f>
        <v>40</v>
      </c>
      <c r="U173" s="882">
        <f>IF($E$30="Enter Duration (wks)","",IF($Y51="Enter Hrs/Wk","",IF($E$30&gt;='FORMULA REFS'!M$1,$Y51,"")))</f>
        <v>40</v>
      </c>
      <c r="V173" s="882"/>
      <c r="W173" s="882"/>
      <c r="X173" s="1285"/>
      <c r="Y173" s="1285">
        <f>IF($E$30="Enter Duration (wks)","",IF($Y51="Enter Hrs/Wk","",IF($E$30&gt;='FORMULA REFS'!N$1,$Y51,"")))</f>
        <v>40</v>
      </c>
      <c r="Z173" s="1343">
        <f>IF($E$30="Enter Duration (wks)","",IF($Y51="Enter Hrs/Wk","",IF($E$30&gt;='FORMULA REFS'!O$1,$Y51,"")))</f>
        <v>40</v>
      </c>
      <c r="AA173" s="882">
        <f>IF($E$30="Enter Duration (wks)","",IF($Y51="Enter Hrs/Wk","",IF($E$30&gt;='FORMULA REFS'!P$1,$Y51,"")))</f>
        <v>40</v>
      </c>
      <c r="AB173" s="882">
        <f>IF($E$30="Enter Duration (wks)","",IF($Y51="Enter Hrs/Wk","",IF($E$30&gt;='FORMULA REFS'!Q$1,$Y51,"")))</f>
        <v>40</v>
      </c>
      <c r="AC173" s="882"/>
      <c r="AD173" s="882"/>
      <c r="AE173" s="882"/>
      <c r="AF173" s="882"/>
      <c r="AG173" s="1286">
        <f>IF($E$30="Enter Duration (wks)","",IF($Y51="Enter Hrs/Wk","",IF($E$30&gt;='FORMULA REFS'!R$1,$Y51,"")))</f>
        <v>40</v>
      </c>
      <c r="AH173" s="1286">
        <f>IF($E$30="Enter Duration (wks)","",IF($Y51="Enter Hrs/Wk","",IF($E$30&gt;='FORMULA REFS'!S$1,$Y51,"")))</f>
        <v>40</v>
      </c>
      <c r="AI173" s="1286">
        <f>IF($E$30="Enter Duration (wks)","",IF($Y51="Enter Hrs/Wk","",IF($E$30&gt;='FORMULA REFS'!T$1,$Y51,"")))</f>
        <v>40</v>
      </c>
      <c r="AJ173" s="1286">
        <f>IF($E$30="Enter Duration (wks)","",IF($Y51="Enter Hrs/Wk","",IF($E$30&gt;='FORMULA REFS'!U$1,$Y51,"")))</f>
        <v>40</v>
      </c>
      <c r="AK173" s="1286">
        <f>IF($E$30="Enter Duration (wks)","",IF($Y51="Enter Hrs/Wk","",IF($E$30&gt;='FORMULA REFS'!V$1,$Y51,"")))</f>
        <v>40</v>
      </c>
      <c r="AL173" s="1286">
        <f>IF($E$30="Enter Duration (wks)","",IF($Y51="Enter Hrs/Wk","",IF($E$30&gt;='FORMULA REFS'!W$1,$Y51,"")))</f>
        <v>40</v>
      </c>
      <c r="AM173" s="1286">
        <f>IF($E$30="Enter Duration (wks)","",IF($Y51="Enter Hrs/Wk","",IF($E$30&gt;='FORMULA REFS'!X$1,$Y51,"")))</f>
        <v>40</v>
      </c>
      <c r="AN173" s="1286">
        <f>IF($E$30="Enter Duration (wks)","",IF($Y51="Enter Hrs/Wk","",IF($E$30&gt;='FORMULA REFS'!Y$1,$Y51,"")))</f>
        <v>40</v>
      </c>
      <c r="AO173" s="1286">
        <f>IF($E$30="Enter Duration (wks)","",IF($Y51="Enter Hrs/Wk","",IF($E$30&gt;='FORMULA REFS'!Z$1,$Y51,"")))</f>
        <v>40</v>
      </c>
      <c r="AP173" s="1286">
        <f>IF($E$30="Enter Duration (wks)","",IF($Y51="Enter Hrs/Wk","",IF($E$30&gt;='FORMULA REFS'!AA$1,$Y51,"")))</f>
        <v>40</v>
      </c>
      <c r="AQ173" s="1286">
        <f>IF($E$30="Enter Duration (wks)","",IF($Y51="Enter Hrs/Wk","",IF($E$30&gt;='FORMULA REFS'!AB$1,$Y51,"")))</f>
        <v>40</v>
      </c>
      <c r="AR173" s="1286">
        <f>IF($E$30="Enter Duration (wks)","",IF($Y51="Enter Hrs/Wk","",IF($E$30&gt;='FORMULA REFS'!AC$1,$Y51,"")))</f>
        <v>40</v>
      </c>
      <c r="AS173" s="1286">
        <f>IF($E$30="Enter Duration (wks)","",IF($Y51="Enter Hrs/Wk","",IF($E$30&gt;='FORMULA REFS'!AD$1,$Y51,"")))</f>
        <v>40</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2"/>
      <c r="BQ173" s="542"/>
      <c r="BR173" s="542"/>
      <c r="BS173" s="542"/>
      <c r="BT173" s="542"/>
      <c r="BU173" s="542"/>
      <c r="BV173" s="542"/>
      <c r="BW173" s="542"/>
      <c r="BX173" s="542"/>
      <c r="BY173" s="542"/>
      <c r="BZ173" s="542"/>
      <c r="CA173" s="542"/>
      <c r="CB173" s="543"/>
      <c r="CC173" s="543"/>
      <c r="CD173" s="543"/>
      <c r="CE173" s="544"/>
      <c r="CF173" s="544"/>
      <c r="CG173" s="523"/>
      <c r="CH173" s="523"/>
      <c r="CI173" s="541"/>
      <c r="CJ173" s="539"/>
      <c r="CK173" s="539"/>
      <c r="CL173" s="413"/>
      <c r="CM173" s="413"/>
      <c r="CN173" s="413"/>
      <c r="CO173" s="413"/>
      <c r="CP173" s="413"/>
      <c r="CQ173" s="413"/>
    </row>
    <row r="174" spans="3:95" x14ac:dyDescent="0.3">
      <c r="C174" s="1291" t="str">
        <f t="shared" si="80"/>
        <v>TADNorthAmerica</v>
      </c>
      <c r="D174" s="1318" t="str">
        <f t="shared" ref="D174:D237" si="81">IF(K52="","",K52)</f>
        <v>Technical Lead</v>
      </c>
      <c r="E174" s="1326"/>
      <c r="F174" s="1327">
        <f>IF($E$30="Enter Duration (wks)","",IF($Y52="Enter Hrs/Wk","",IF($E$30&gt;='FORMULA REFS'!A$1,$Y52,"")))</f>
        <v>40</v>
      </c>
      <c r="G174" s="1328"/>
      <c r="H174" s="1570"/>
      <c r="I174" s="1329">
        <f>IF($E$30="Enter Duration (wks)","",IF($Y52="Enter Hrs/Wk","",IF($E$30&gt;='FORMULA REFS'!B$1,$Y52,"")))</f>
        <v>40</v>
      </c>
      <c r="J174" s="1323"/>
      <c r="K174" s="1286">
        <f>IF($E$30="Enter Duration (wks)","",IF($Y52="Enter Hrs/Wk","",IF($E$30&gt;='FORMULA REFS'!C$1,$Y52,"")))</f>
        <v>40</v>
      </c>
      <c r="L174" s="882">
        <f>IF($E$30="Enter Duration (wks)","",IF($Y52="Enter Hrs/Wk","",IF($E$30&gt;='FORMULA REFS'!D$1,$Y52,"")))</f>
        <v>40</v>
      </c>
      <c r="M174" s="882">
        <f>IF($E$30="Enter Duration (wks)","",IF($Y52="Enter Hrs/Wk","",IF($E$30&gt;='FORMULA REFS'!E$1,$Y52,"")))</f>
        <v>40</v>
      </c>
      <c r="N174" s="882">
        <f>IF($E$30="Enter Duration (wks)","",IF($Y52="Enter Hrs/Wk","",IF($E$30&gt;='FORMULA REFS'!F$1,$Y52,"")))</f>
        <v>40</v>
      </c>
      <c r="O174" s="882">
        <f>IF($E$30="Enter Duration (wks)","",IF($Y52="Enter Hrs/Wk","",IF($E$30&gt;='FORMULA REFS'!G$1,$Y52,"")))</f>
        <v>40</v>
      </c>
      <c r="P174" s="882">
        <f>IF($E$30="Enter Duration (wks)","",IF($Y52="Enter Hrs/Wk","",IF($E$30&gt;='FORMULA REFS'!H$1,$Y52,"")))</f>
        <v>40</v>
      </c>
      <c r="Q174" s="882">
        <f>IF($E$30="Enter Duration (wks)","",IF($Y52="Enter Hrs/Wk","",IF($E$30&gt;='FORMULA REFS'!I$1,$Y52,"")))</f>
        <v>40</v>
      </c>
      <c r="R174" s="882">
        <f>IF($E$30="Enter Duration (wks)","",IF($Y52="Enter Hrs/Wk","",IF($E$30&gt;='FORMULA REFS'!J$1,$Y52,"")))</f>
        <v>40</v>
      </c>
      <c r="S174" s="882">
        <f>IF($E$30="Enter Duration (wks)","",IF($Y52="Enter Hrs/Wk","",IF($E$30&gt;='FORMULA REFS'!K$1,$Y52,"")))</f>
        <v>40</v>
      </c>
      <c r="T174" s="1323">
        <f>IF($E$30="Enter Duration (wks)","",IF($Y52="Enter Hrs/Wk","",IF($E$30&gt;='FORMULA REFS'!L$1,$Y52,"")))</f>
        <v>40</v>
      </c>
      <c r="U174" s="882">
        <f>IF($E$30="Enter Duration (wks)","",IF($Y52="Enter Hrs/Wk","",IF($E$30&gt;='FORMULA REFS'!M$1,$Y52,"")))</f>
        <v>40</v>
      </c>
      <c r="V174" s="882"/>
      <c r="W174" s="882"/>
      <c r="X174" s="1285"/>
      <c r="Y174" s="1285">
        <f>IF($E$30="Enter Duration (wks)","",IF($Y52="Enter Hrs/Wk","",IF($E$30&gt;='FORMULA REFS'!N$1,$Y52,"")))</f>
        <v>40</v>
      </c>
      <c r="Z174" s="1343">
        <f>IF($E$30="Enter Duration (wks)","",IF($Y52="Enter Hrs/Wk","",IF($E$30&gt;='FORMULA REFS'!O$1,$Y52,"")))</f>
        <v>40</v>
      </c>
      <c r="AA174" s="882">
        <f>IF($E$30="Enter Duration (wks)","",IF($Y52="Enter Hrs/Wk","",IF($E$30&gt;='FORMULA REFS'!P$1,$Y52,"")))</f>
        <v>40</v>
      </c>
      <c r="AB174" s="882">
        <f>IF($E$30="Enter Duration (wks)","",IF($Y52="Enter Hrs/Wk","",IF($E$30&gt;='FORMULA REFS'!Q$1,$Y52,"")))</f>
        <v>40</v>
      </c>
      <c r="AC174" s="882"/>
      <c r="AD174" s="882"/>
      <c r="AE174" s="882"/>
      <c r="AF174" s="882"/>
      <c r="AG174" s="1286">
        <f>IF($E$30="Enter Duration (wks)","",IF($Y52="Enter Hrs/Wk","",IF($E$30&gt;='FORMULA REFS'!R$1,$Y52,"")))</f>
        <v>40</v>
      </c>
      <c r="AH174" s="1286">
        <f>IF($E$30="Enter Duration (wks)","",IF($Y52="Enter Hrs/Wk","",IF($E$30&gt;='FORMULA REFS'!S$1,$Y52,"")))</f>
        <v>40</v>
      </c>
      <c r="AI174" s="1286">
        <f>IF($E$30="Enter Duration (wks)","",IF($Y52="Enter Hrs/Wk","",IF($E$30&gt;='FORMULA REFS'!T$1,$Y52,"")))</f>
        <v>40</v>
      </c>
      <c r="AJ174" s="1286">
        <f>IF($E$30="Enter Duration (wks)","",IF($Y52="Enter Hrs/Wk","",IF($E$30&gt;='FORMULA REFS'!U$1,$Y52,"")))</f>
        <v>40</v>
      </c>
      <c r="AK174" s="1286">
        <f>IF($E$30="Enter Duration (wks)","",IF($Y52="Enter Hrs/Wk","",IF($E$30&gt;='FORMULA REFS'!V$1,$Y52,"")))</f>
        <v>40</v>
      </c>
      <c r="AL174" s="1286">
        <f>IF($E$30="Enter Duration (wks)","",IF($Y52="Enter Hrs/Wk","",IF($E$30&gt;='FORMULA REFS'!W$1,$Y52,"")))</f>
        <v>40</v>
      </c>
      <c r="AM174" s="1286">
        <f>IF($E$30="Enter Duration (wks)","",IF($Y52="Enter Hrs/Wk","",IF($E$30&gt;='FORMULA REFS'!X$1,$Y52,"")))</f>
        <v>40</v>
      </c>
      <c r="AN174" s="1286">
        <f>IF($E$30="Enter Duration (wks)","",IF($Y52="Enter Hrs/Wk","",IF($E$30&gt;='FORMULA REFS'!Y$1,$Y52,"")))</f>
        <v>40</v>
      </c>
      <c r="AO174" s="1286">
        <f>IF($E$30="Enter Duration (wks)","",IF($Y52="Enter Hrs/Wk","",IF($E$30&gt;='FORMULA REFS'!Z$1,$Y52,"")))</f>
        <v>40</v>
      </c>
      <c r="AP174" s="1286">
        <f>IF($E$30="Enter Duration (wks)","",IF($Y52="Enter Hrs/Wk","",IF($E$30&gt;='FORMULA REFS'!AA$1,$Y52,"")))</f>
        <v>40</v>
      </c>
      <c r="AQ174" s="1286">
        <f>IF($E$30="Enter Duration (wks)","",IF($Y52="Enter Hrs/Wk","",IF($E$30&gt;='FORMULA REFS'!AB$1,$Y52,"")))</f>
        <v>40</v>
      </c>
      <c r="AR174" s="1286">
        <f>IF($E$30="Enter Duration (wks)","",IF($Y52="Enter Hrs/Wk","",IF($E$30&gt;='FORMULA REFS'!AC$1,$Y52,"")))</f>
        <v>40</v>
      </c>
      <c r="AS174" s="1286">
        <f>IF($E$30="Enter Duration (wks)","",IF($Y52="Enter Hrs/Wk","",IF($E$30&gt;='FORMULA REFS'!AD$1,$Y52,"")))</f>
        <v>40</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543"/>
      <c r="CC174" s="543"/>
      <c r="CD174" s="543"/>
      <c r="CE174" s="544"/>
      <c r="CF174" s="544"/>
      <c r="CG174" s="523"/>
      <c r="CH174" s="523"/>
      <c r="CI174" s="546"/>
      <c r="CJ174" s="547"/>
      <c r="CK174" s="547"/>
      <c r="CL174" s="413"/>
      <c r="CM174" s="413"/>
      <c r="CN174" s="413"/>
      <c r="CO174" s="413"/>
      <c r="CP174" s="413"/>
      <c r="CQ174" s="413"/>
    </row>
    <row r="175" spans="3:95" x14ac:dyDescent="0.3">
      <c r="C175" s="1291" t="str">
        <f t="shared" si="80"/>
        <v>TADIndia</v>
      </c>
      <c r="D175" s="1318" t="str">
        <f t="shared" si="81"/>
        <v>Associate DevOps Engineer</v>
      </c>
      <c r="E175" s="1326"/>
      <c r="F175" s="1327">
        <f>IF($E$30="Enter Duration (wks)","",IF($Y53="Enter Hrs/Wk","",IF($E$30&gt;='FORMULA REFS'!A$1,$Y53,"")))</f>
        <v>32</v>
      </c>
      <c r="G175" s="1328"/>
      <c r="H175" s="1570"/>
      <c r="I175" s="1329">
        <f>IF($E$30="Enter Duration (wks)","",IF($Y53="Enter Hrs/Wk","",IF($E$30&gt;='FORMULA REFS'!B$1,$Y53,"")))</f>
        <v>32</v>
      </c>
      <c r="J175" s="1323"/>
      <c r="K175" s="1286">
        <f>IF($E$30="Enter Duration (wks)","",IF($Y53="Enter Hrs/Wk","",IF($E$30&gt;='FORMULA REFS'!C$1,$Y53,"")))</f>
        <v>32</v>
      </c>
      <c r="L175" s="882">
        <f>IF($E$30="Enter Duration (wks)","",IF($Y53="Enter Hrs/Wk","",IF($E$30&gt;='FORMULA REFS'!D$1,$Y53,"")))</f>
        <v>32</v>
      </c>
      <c r="M175" s="882">
        <f>IF($E$30="Enter Duration (wks)","",IF($Y53="Enter Hrs/Wk","",IF($E$30&gt;='FORMULA REFS'!E$1,$Y53,"")))</f>
        <v>32</v>
      </c>
      <c r="N175" s="882">
        <f>IF($E$30="Enter Duration (wks)","",IF($Y53="Enter Hrs/Wk","",IF($E$30&gt;='FORMULA REFS'!F$1,$Y53,"")))</f>
        <v>32</v>
      </c>
      <c r="O175" s="882">
        <f>IF($E$30="Enter Duration (wks)","",IF($Y53="Enter Hrs/Wk","",IF($E$30&gt;='FORMULA REFS'!G$1,$Y53,"")))</f>
        <v>32</v>
      </c>
      <c r="P175" s="882">
        <f>IF($E$30="Enter Duration (wks)","",IF($Y53="Enter Hrs/Wk","",IF($E$30&gt;='FORMULA REFS'!H$1,$Y53,"")))</f>
        <v>32</v>
      </c>
      <c r="Q175" s="882">
        <f>IF($E$30="Enter Duration (wks)","",IF($Y53="Enter Hrs/Wk","",IF($E$30&gt;='FORMULA REFS'!I$1,$Y53,"")))</f>
        <v>32</v>
      </c>
      <c r="R175" s="882">
        <f>IF($E$30="Enter Duration (wks)","",IF($Y53="Enter Hrs/Wk","",IF($E$30&gt;='FORMULA REFS'!J$1,$Y53,"")))</f>
        <v>32</v>
      </c>
      <c r="S175" s="882">
        <f>IF($E$30="Enter Duration (wks)","",IF($Y53="Enter Hrs/Wk","",IF($E$30&gt;='FORMULA REFS'!K$1,$Y53,"")))</f>
        <v>32</v>
      </c>
      <c r="T175" s="1323">
        <f>IF($E$30="Enter Duration (wks)","",IF($Y53="Enter Hrs/Wk","",IF($E$30&gt;='FORMULA REFS'!L$1,$Y53,"")))</f>
        <v>32</v>
      </c>
      <c r="U175" s="882">
        <f>IF($E$30="Enter Duration (wks)","",IF($Y53="Enter Hrs/Wk","",IF($E$30&gt;='FORMULA REFS'!M$1,$Y53,"")))</f>
        <v>32</v>
      </c>
      <c r="V175" s="882"/>
      <c r="W175" s="882"/>
      <c r="X175" s="1285"/>
      <c r="Y175" s="1285">
        <f>IF($E$30="Enter Duration (wks)","",IF($Y53="Enter Hrs/Wk","",IF($E$30&gt;='FORMULA REFS'!N$1,$Y53,"")))</f>
        <v>32</v>
      </c>
      <c r="Z175" s="1343">
        <f>IF($E$30="Enter Duration (wks)","",IF($Y53="Enter Hrs/Wk","",IF($E$30&gt;='FORMULA REFS'!O$1,$Y53,"")))</f>
        <v>32</v>
      </c>
      <c r="AA175" s="882">
        <f>IF($E$30="Enter Duration (wks)","",IF($Y53="Enter Hrs/Wk","",IF($E$30&gt;='FORMULA REFS'!P$1,$Y53,"")))</f>
        <v>32</v>
      </c>
      <c r="AB175" s="882">
        <f>IF($E$30="Enter Duration (wks)","",IF($Y53="Enter Hrs/Wk","",IF($E$30&gt;='FORMULA REFS'!Q$1,$Y53,"")))</f>
        <v>32</v>
      </c>
      <c r="AC175" s="882"/>
      <c r="AD175" s="882"/>
      <c r="AE175" s="882"/>
      <c r="AF175" s="882"/>
      <c r="AG175" s="1286">
        <f>IF($E$30="Enter Duration (wks)","",IF($Y53="Enter Hrs/Wk","",IF($E$30&gt;='FORMULA REFS'!R$1,$Y53,"")))</f>
        <v>32</v>
      </c>
      <c r="AH175" s="1286">
        <f>IF($E$30="Enter Duration (wks)","",IF($Y53="Enter Hrs/Wk","",IF($E$30&gt;='FORMULA REFS'!S$1,$Y53,"")))</f>
        <v>32</v>
      </c>
      <c r="AI175" s="1286">
        <f>IF($E$30="Enter Duration (wks)","",IF($Y53="Enter Hrs/Wk","",IF($E$30&gt;='FORMULA REFS'!T$1,$Y53,"")))</f>
        <v>32</v>
      </c>
      <c r="AJ175" s="1286">
        <f>IF($E$30="Enter Duration (wks)","",IF($Y53="Enter Hrs/Wk","",IF($E$30&gt;='FORMULA REFS'!U$1,$Y53,"")))</f>
        <v>32</v>
      </c>
      <c r="AK175" s="1286">
        <f>IF($E$30="Enter Duration (wks)","",IF($Y53="Enter Hrs/Wk","",IF($E$30&gt;='FORMULA REFS'!V$1,$Y53,"")))</f>
        <v>32</v>
      </c>
      <c r="AL175" s="1286">
        <f>IF($E$30="Enter Duration (wks)","",IF($Y53="Enter Hrs/Wk","",IF($E$30&gt;='FORMULA REFS'!W$1,$Y53,"")))</f>
        <v>32</v>
      </c>
      <c r="AM175" s="1286">
        <f>IF($E$30="Enter Duration (wks)","",IF($Y53="Enter Hrs/Wk","",IF($E$30&gt;='FORMULA REFS'!X$1,$Y53,"")))</f>
        <v>32</v>
      </c>
      <c r="AN175" s="1286">
        <f>IF($E$30="Enter Duration (wks)","",IF($Y53="Enter Hrs/Wk","",IF($E$30&gt;='FORMULA REFS'!Y$1,$Y53,"")))</f>
        <v>32</v>
      </c>
      <c r="AO175" s="1286">
        <f>IF($E$30="Enter Duration (wks)","",IF($Y53="Enter Hrs/Wk","",IF($E$30&gt;='FORMULA REFS'!Z$1,$Y53,"")))</f>
        <v>32</v>
      </c>
      <c r="AP175" s="1286">
        <f>IF($E$30="Enter Duration (wks)","",IF($Y53="Enter Hrs/Wk","",IF($E$30&gt;='FORMULA REFS'!AA$1,$Y53,"")))</f>
        <v>32</v>
      </c>
      <c r="AQ175" s="1286">
        <f>IF($E$30="Enter Duration (wks)","",IF($Y53="Enter Hrs/Wk","",IF($E$30&gt;='FORMULA REFS'!AB$1,$Y53,"")))</f>
        <v>32</v>
      </c>
      <c r="AR175" s="1286">
        <f>IF($E$30="Enter Duration (wks)","",IF($Y53="Enter Hrs/Wk","",IF($E$30&gt;='FORMULA REFS'!AC$1,$Y53,"")))</f>
        <v>32</v>
      </c>
      <c r="AS175" s="1286">
        <f>IF($E$30="Enter Duration (wks)","",IF($Y53="Enter Hrs/Wk","",IF($E$30&gt;='FORMULA REFS'!AD$1,$Y53,"")))</f>
        <v>32</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45"/>
      <c r="BQ175" s="545"/>
      <c r="BR175" s="545"/>
      <c r="BS175" s="545"/>
      <c r="BT175" s="545"/>
      <c r="BU175" s="545"/>
      <c r="BV175" s="545"/>
      <c r="BW175" s="545"/>
      <c r="BX175" s="545"/>
      <c r="BY175" s="545"/>
      <c r="BZ175" s="545"/>
      <c r="CA175" s="545"/>
      <c r="CB175" s="543"/>
      <c r="CC175" s="543"/>
      <c r="CD175" s="543"/>
      <c r="CE175" s="544"/>
      <c r="CF175" s="544"/>
      <c r="CG175" s="523"/>
      <c r="CH175" s="523"/>
      <c r="CI175" s="548"/>
      <c r="CJ175" s="549"/>
      <c r="CK175" s="549"/>
      <c r="CL175" s="413"/>
      <c r="CM175" s="413"/>
      <c r="CN175" s="413"/>
      <c r="CO175" s="413"/>
      <c r="CP175" s="413"/>
      <c r="CQ175" s="413"/>
    </row>
    <row r="176" spans="3:95" ht="15" customHeight="1" x14ac:dyDescent="0.3">
      <c r="C176" s="1291" t="str">
        <f t="shared" si="80"/>
        <v/>
      </c>
      <c r="D176" s="1318" t="str">
        <f t="shared" si="81"/>
        <v/>
      </c>
      <c r="E176" s="1326"/>
      <c r="F176" s="1327">
        <f>IF($E$30="Enter Duration (wks)","",IF($Y54="Enter Hrs/Wk","",IF($E$30&gt;='FORMULA REFS'!A$1,$Y54,"")))</f>
        <v>10</v>
      </c>
      <c r="G176" s="1328"/>
      <c r="H176" s="1570"/>
      <c r="I176" s="1329">
        <f>IF($E$30="Enter Duration (wks)","",IF($Y54="Enter Hrs/Wk","",IF($E$30&gt;='FORMULA REFS'!B$1,$Y54,"")))</f>
        <v>10</v>
      </c>
      <c r="J176" s="1323"/>
      <c r="K176" s="1286">
        <f>IF($E$30="Enter Duration (wks)","",IF($Y54="Enter Hrs/Wk","",IF($E$30&gt;='FORMULA REFS'!C$1,$Y54,"")))</f>
        <v>10</v>
      </c>
      <c r="L176" s="882">
        <f>IF($E$30="Enter Duration (wks)","",IF($Y54="Enter Hrs/Wk","",IF($E$30&gt;='FORMULA REFS'!D$1,$Y54,"")))</f>
        <v>10</v>
      </c>
      <c r="M176" s="882">
        <f>IF($E$30="Enter Duration (wks)","",IF($Y54="Enter Hrs/Wk","",IF($E$30&gt;='FORMULA REFS'!E$1,$Y54,"")))</f>
        <v>10</v>
      </c>
      <c r="N176" s="882">
        <f>IF($E$30="Enter Duration (wks)","",IF($Y54="Enter Hrs/Wk","",IF($E$30&gt;='FORMULA REFS'!F$1,$Y54,"")))</f>
        <v>10</v>
      </c>
      <c r="O176" s="882">
        <f>IF($E$30="Enter Duration (wks)","",IF($Y54="Enter Hrs/Wk","",IF($E$30&gt;='FORMULA REFS'!G$1,$Y54,"")))</f>
        <v>10</v>
      </c>
      <c r="P176" s="882">
        <f>IF($E$30="Enter Duration (wks)","",IF($Y54="Enter Hrs/Wk","",IF($E$30&gt;='FORMULA REFS'!H$1,$Y54,"")))</f>
        <v>10</v>
      </c>
      <c r="Q176" s="882">
        <f>IF($E$30="Enter Duration (wks)","",IF($Y54="Enter Hrs/Wk","",IF($E$30&gt;='FORMULA REFS'!I$1,$Y54,"")))</f>
        <v>10</v>
      </c>
      <c r="R176" s="882">
        <f>IF($E$30="Enter Duration (wks)","",IF($Y54="Enter Hrs/Wk","",IF($E$30&gt;='FORMULA REFS'!J$1,$Y54,"")))</f>
        <v>10</v>
      </c>
      <c r="S176" s="882">
        <f>IF($E$30="Enter Duration (wks)","",IF($Y54="Enter Hrs/Wk","",IF($E$30&gt;='FORMULA REFS'!K$1,$Y54,"")))</f>
        <v>10</v>
      </c>
      <c r="T176" s="1323">
        <f>IF($E$30="Enter Duration (wks)","",IF($Y54="Enter Hrs/Wk","",IF($E$30&gt;='FORMULA REFS'!L$1,$Y54,"")))</f>
        <v>10</v>
      </c>
      <c r="U176" s="882">
        <f>IF($E$30="Enter Duration (wks)","",IF($Y54="Enter Hrs/Wk","",IF($E$30&gt;='FORMULA REFS'!M$1,$Y54,"")))</f>
        <v>10</v>
      </c>
      <c r="V176" s="882"/>
      <c r="W176" s="882"/>
      <c r="X176" s="1285"/>
      <c r="Y176" s="1285">
        <f>IF($E$30="Enter Duration (wks)","",IF($Y54="Enter Hrs/Wk","",IF($E$30&gt;='FORMULA REFS'!N$1,$Y54,"")))</f>
        <v>10</v>
      </c>
      <c r="Z176" s="1343">
        <f>IF($E$30="Enter Duration (wks)","",IF($Y54="Enter Hrs/Wk","",IF($E$30&gt;='FORMULA REFS'!O$1,$Y54,"")))</f>
        <v>10</v>
      </c>
      <c r="AA176" s="882">
        <f>IF($E$30="Enter Duration (wks)","",IF($Y54="Enter Hrs/Wk","",IF($E$30&gt;='FORMULA REFS'!P$1,$Y54,"")))</f>
        <v>10</v>
      </c>
      <c r="AB176" s="882">
        <f>IF($E$30="Enter Duration (wks)","",IF($Y54="Enter Hrs/Wk","",IF($E$30&gt;='FORMULA REFS'!Q$1,$Y54,"")))</f>
        <v>10</v>
      </c>
      <c r="AC176" s="882"/>
      <c r="AD176" s="882"/>
      <c r="AE176" s="882"/>
      <c r="AF176" s="882"/>
      <c r="AG176" s="1286">
        <f>IF($E$30="Enter Duration (wks)","",IF($Y54="Enter Hrs/Wk","",IF($E$30&gt;='FORMULA REFS'!R$1,$Y54,"")))</f>
        <v>10</v>
      </c>
      <c r="AH176" s="1286">
        <f>IF($E$30="Enter Duration (wks)","",IF($Y54="Enter Hrs/Wk","",IF($E$30&gt;='FORMULA REFS'!S$1,$Y54,"")))</f>
        <v>10</v>
      </c>
      <c r="AI176" s="1286">
        <f>IF($E$30="Enter Duration (wks)","",IF($Y54="Enter Hrs/Wk","",IF($E$30&gt;='FORMULA REFS'!T$1,$Y54,"")))</f>
        <v>10</v>
      </c>
      <c r="AJ176" s="1286">
        <f>IF($E$30="Enter Duration (wks)","",IF($Y54="Enter Hrs/Wk","",IF($E$30&gt;='FORMULA REFS'!U$1,$Y54,"")))</f>
        <v>10</v>
      </c>
      <c r="AK176" s="1286">
        <f>IF($E$30="Enter Duration (wks)","",IF($Y54="Enter Hrs/Wk","",IF($E$30&gt;='FORMULA REFS'!V$1,$Y54,"")))</f>
        <v>10</v>
      </c>
      <c r="AL176" s="1286">
        <f>IF($E$30="Enter Duration (wks)","",IF($Y54="Enter Hrs/Wk","",IF($E$30&gt;='FORMULA REFS'!W$1,$Y54,"")))</f>
        <v>10</v>
      </c>
      <c r="AM176" s="1286">
        <f>IF($E$30="Enter Duration (wks)","",IF($Y54="Enter Hrs/Wk","",IF($E$30&gt;='FORMULA REFS'!X$1,$Y54,"")))</f>
        <v>10</v>
      </c>
      <c r="AN176" s="1286">
        <f>IF($E$30="Enter Duration (wks)","",IF($Y54="Enter Hrs/Wk","",IF($E$30&gt;='FORMULA REFS'!Y$1,$Y54,"")))</f>
        <v>10</v>
      </c>
      <c r="AO176" s="1286">
        <f>IF($E$30="Enter Duration (wks)","",IF($Y54="Enter Hrs/Wk","",IF($E$30&gt;='FORMULA REFS'!Z$1,$Y54,"")))</f>
        <v>10</v>
      </c>
      <c r="AP176" s="1286">
        <f>IF($E$30="Enter Duration (wks)","",IF($Y54="Enter Hrs/Wk","",IF($E$30&gt;='FORMULA REFS'!AA$1,$Y54,"")))</f>
        <v>10</v>
      </c>
      <c r="AQ176" s="1286">
        <f>IF($E$30="Enter Duration (wks)","",IF($Y54="Enter Hrs/Wk","",IF($E$30&gt;='FORMULA REFS'!AB$1,$Y54,"")))</f>
        <v>10</v>
      </c>
      <c r="AR176" s="1286">
        <f>IF($E$30="Enter Duration (wks)","",IF($Y54="Enter Hrs/Wk","",IF($E$30&gt;='FORMULA REFS'!AC$1,$Y54,"")))</f>
        <v>10</v>
      </c>
      <c r="AS176" s="1286">
        <f>IF($E$30="Enter Duration (wks)","",IF($Y54="Enter Hrs/Wk","",IF($E$30&gt;='FORMULA REFS'!AD$1,$Y54,"")))</f>
        <v>10</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523"/>
      <c r="CC176" s="523"/>
      <c r="CD176" s="523"/>
      <c r="CE176" s="523"/>
      <c r="CF176" s="523"/>
      <c r="CG176" s="523"/>
      <c r="CH176" s="523"/>
      <c r="CI176" s="546"/>
      <c r="CJ176" s="547"/>
      <c r="CK176" s="547"/>
      <c r="CL176" s="413"/>
      <c r="CM176" s="413"/>
      <c r="CN176" s="413"/>
      <c r="CO176" s="413"/>
      <c r="CP176" s="413"/>
      <c r="CQ176" s="413"/>
    </row>
    <row r="177" spans="3:95" x14ac:dyDescent="0.3">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1"/>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39"/>
      <c r="CK178" s="539"/>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545"/>
      <c r="BY179" s="545"/>
      <c r="BZ179" s="545"/>
      <c r="CA179" s="545"/>
      <c r="CB179" s="413"/>
      <c r="CC179" s="413"/>
      <c r="CD179" s="413"/>
      <c r="CE179" s="413"/>
      <c r="CF179" s="413"/>
      <c r="CG179" s="523"/>
      <c r="CH179" s="523"/>
      <c r="CI179" s="546"/>
      <c r="CJ179" s="547"/>
      <c r="CK179" s="547"/>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545"/>
      <c r="BY180" s="545"/>
      <c r="BZ180" s="545"/>
      <c r="CA180" s="545"/>
      <c r="CB180" s="413"/>
      <c r="CC180" s="413"/>
      <c r="CD180" s="413"/>
      <c r="CE180" s="413"/>
      <c r="CF180" s="413"/>
      <c r="CG180" s="523"/>
      <c r="CH180" s="523"/>
      <c r="CI180" s="546"/>
      <c r="CJ180" s="547"/>
      <c r="CK180" s="547"/>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45"/>
      <c r="BQ181" s="545"/>
      <c r="BR181" s="545"/>
      <c r="BS181" s="545"/>
      <c r="BT181" s="545"/>
      <c r="BU181" s="545"/>
      <c r="BV181" s="545"/>
      <c r="BW181" s="545"/>
      <c r="BX181" s="545"/>
      <c r="BY181" s="545"/>
      <c r="BZ181" s="545"/>
      <c r="CA181" s="545"/>
      <c r="CB181" s="413"/>
      <c r="CC181" s="413"/>
      <c r="CD181" s="413"/>
      <c r="CE181" s="413"/>
      <c r="CF181" s="413"/>
      <c r="CG181" s="523"/>
      <c r="CH181" s="523"/>
      <c r="CI181" s="548"/>
      <c r="CJ181" s="549"/>
      <c r="CK181" s="549"/>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50"/>
      <c r="BQ182" s="550"/>
      <c r="BR182" s="550"/>
      <c r="BS182" s="550"/>
      <c r="BT182" s="550"/>
      <c r="BU182" s="550"/>
      <c r="BV182" s="550"/>
      <c r="BW182" s="550"/>
      <c r="BX182" s="550"/>
      <c r="BY182" s="550"/>
      <c r="BZ182" s="550"/>
      <c r="CA182" s="550"/>
      <c r="CB182" s="413"/>
      <c r="CC182" s="413"/>
      <c r="CD182" s="413"/>
      <c r="CE182" s="413"/>
      <c r="CF182" s="413"/>
      <c r="CG182" s="523"/>
      <c r="CH182" s="523"/>
      <c r="CI182" s="546"/>
      <c r="CJ182" s="547"/>
      <c r="CK182" s="547"/>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50"/>
      <c r="BQ183" s="550"/>
      <c r="BR183" s="550"/>
      <c r="BS183" s="550"/>
      <c r="BT183" s="550"/>
      <c r="BU183" s="550"/>
      <c r="BV183" s="550"/>
      <c r="BW183" s="550"/>
      <c r="BX183" s="550"/>
      <c r="BY183" s="550"/>
      <c r="BZ183" s="550"/>
      <c r="CA183" s="550"/>
      <c r="CB183" s="413"/>
      <c r="CC183" s="413"/>
      <c r="CD183" s="413"/>
      <c r="CE183" s="413"/>
      <c r="CF183" s="413"/>
      <c r="CG183" s="552"/>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50"/>
      <c r="BQ184" s="550"/>
      <c r="BR184" s="550"/>
      <c r="BS184" s="550"/>
      <c r="BT184" s="550"/>
      <c r="BU184" s="550"/>
      <c r="BV184" s="550"/>
      <c r="BW184" s="550"/>
      <c r="BX184" s="550"/>
      <c r="BY184" s="550"/>
      <c r="BZ184" s="550"/>
      <c r="CA184" s="550"/>
      <c r="CB184" s="413"/>
      <c r="CC184" s="413"/>
      <c r="CD184" s="413"/>
      <c r="CE184" s="413"/>
      <c r="CF184" s="413"/>
      <c r="CG184" s="552"/>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42"/>
      <c r="BQ185" s="542"/>
      <c r="BR185" s="542"/>
      <c r="BS185" s="542"/>
      <c r="BT185" s="542"/>
      <c r="BU185" s="542"/>
      <c r="BV185" s="542"/>
      <c r="BW185" s="542"/>
      <c r="BX185" s="542"/>
      <c r="BY185" s="542"/>
      <c r="BZ185" s="542"/>
      <c r="CA185" s="542"/>
      <c r="CB185" s="413"/>
      <c r="CC185" s="413"/>
      <c r="CD185" s="413"/>
      <c r="CE185" s="413"/>
      <c r="CF185" s="41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45"/>
      <c r="BQ186" s="545"/>
      <c r="BR186" s="545"/>
      <c r="BS186" s="545"/>
      <c r="BT186" s="545"/>
      <c r="BU186" s="545"/>
      <c r="BV186" s="545"/>
      <c r="BW186" s="545"/>
      <c r="BX186" s="1710"/>
      <c r="BY186" s="1710"/>
      <c r="BZ186" s="1710"/>
      <c r="CA186" s="1710"/>
      <c r="CB186" s="413"/>
      <c r="CC186" s="413"/>
      <c r="CD186" s="413"/>
      <c r="CE186" s="413"/>
      <c r="CF186" s="41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45"/>
      <c r="BQ187" s="545"/>
      <c r="BR187" s="545"/>
      <c r="BS187" s="545"/>
      <c r="BT187" s="545"/>
      <c r="BU187" s="545"/>
      <c r="BV187" s="545"/>
      <c r="BW187" s="545"/>
      <c r="BX187" s="1710"/>
      <c r="BY187" s="1710"/>
      <c r="BZ187" s="1710"/>
      <c r="CA187" s="1710"/>
      <c r="CB187" s="413"/>
      <c r="CC187" s="413"/>
      <c r="CD187" s="413"/>
      <c r="CE187" s="413"/>
      <c r="CF187" s="413"/>
      <c r="CG187" s="523"/>
      <c r="CH187" s="523"/>
      <c r="CI187" s="523"/>
      <c r="CJ187" s="523"/>
      <c r="CK187" s="523"/>
      <c r="CL187" s="413"/>
      <c r="CM187" s="413"/>
      <c r="CN187" s="413"/>
      <c r="CO187" s="413"/>
      <c r="CP187" s="413"/>
      <c r="CQ187" s="413"/>
    </row>
    <row r="188" spans="3:95"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413"/>
      <c r="CC188" s="413"/>
      <c r="CD188" s="413"/>
      <c r="CE188" s="413"/>
      <c r="CF188" s="413"/>
      <c r="CG188" s="523"/>
      <c r="CH188" s="523"/>
      <c r="CI188" s="523"/>
      <c r="CJ188" s="523"/>
      <c r="CK188" s="523"/>
      <c r="CL188" s="413"/>
      <c r="CM188" s="413"/>
      <c r="CN188" s="413"/>
      <c r="CO188" s="413"/>
      <c r="CP188" s="413"/>
      <c r="CQ188" s="413"/>
    </row>
    <row r="189" spans="3:95"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523"/>
      <c r="BQ190" s="523"/>
      <c r="BR190" s="523"/>
      <c r="BS190" s="523"/>
      <c r="BT190" s="523"/>
      <c r="BU190" s="523"/>
      <c r="BV190" s="523"/>
      <c r="BW190" s="523"/>
      <c r="BX190" s="523"/>
      <c r="BY190" s="523"/>
      <c r="BZ190" s="523"/>
      <c r="CA190" s="523"/>
      <c r="CB190" s="523"/>
      <c r="CC190" s="523"/>
      <c r="CD190" s="523"/>
      <c r="CE190" s="523"/>
      <c r="CF190" s="523"/>
      <c r="CG190" s="523"/>
      <c r="CH190" s="523"/>
      <c r="CI190" s="523"/>
      <c r="CJ190" s="523"/>
      <c r="CK190" s="523"/>
      <c r="CL190" s="413"/>
      <c r="CM190" s="413"/>
      <c r="CN190" s="413"/>
      <c r="CO190" s="413"/>
      <c r="CP190" s="413"/>
      <c r="CQ190" s="413"/>
    </row>
    <row r="191" spans="3:95"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523"/>
      <c r="BQ191" s="523"/>
      <c r="BR191" s="523"/>
      <c r="BS191" s="523"/>
      <c r="BT191" s="523"/>
      <c r="BU191" s="523"/>
      <c r="BV191" s="523"/>
      <c r="BW191" s="523"/>
      <c r="BX191" s="523"/>
      <c r="BY191" s="523"/>
      <c r="BZ191" s="523"/>
      <c r="CA191" s="523"/>
      <c r="CB191" s="523"/>
      <c r="CC191" s="523"/>
      <c r="CD191" s="523"/>
      <c r="CE191" s="523"/>
      <c r="CF191" s="523"/>
      <c r="CG191" s="523"/>
      <c r="CH191" s="523"/>
      <c r="CI191" s="523"/>
      <c r="CJ191" s="523"/>
      <c r="CK191" s="523"/>
      <c r="CL191" s="413"/>
      <c r="CM191" s="413"/>
      <c r="CN191" s="413"/>
      <c r="CO191" s="413"/>
      <c r="CP191" s="413"/>
      <c r="CQ191" s="413"/>
    </row>
    <row r="192" spans="3:95"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523"/>
      <c r="BQ192" s="523"/>
      <c r="BR192" s="523"/>
      <c r="BS192" s="523"/>
      <c r="BT192" s="523"/>
      <c r="BU192" s="523"/>
      <c r="BV192" s="523"/>
      <c r="BW192" s="523"/>
      <c r="BX192" s="523"/>
      <c r="BY192" s="523"/>
      <c r="BZ192" s="523"/>
      <c r="CA192" s="523"/>
      <c r="CB192" s="523"/>
      <c r="CC192" s="523"/>
      <c r="CD192" s="523"/>
      <c r="CE192" s="523"/>
      <c r="CF192" s="523"/>
      <c r="CG192" s="523"/>
      <c r="CH192" s="523"/>
      <c r="CI192" s="523"/>
      <c r="CJ192" s="523"/>
      <c r="CK192" s="523"/>
      <c r="CL192" s="413"/>
      <c r="CM192" s="413"/>
      <c r="CN192" s="413"/>
      <c r="CO192" s="413"/>
      <c r="CP192" s="413"/>
      <c r="CQ192" s="413"/>
    </row>
    <row r="193" spans="3:95"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523"/>
      <c r="BQ193" s="523"/>
      <c r="BR193" s="523"/>
      <c r="BS193" s="523"/>
      <c r="BT193" s="523"/>
      <c r="BU193" s="523"/>
      <c r="BV193" s="523"/>
      <c r="BW193" s="523"/>
      <c r="BX193" s="523"/>
      <c r="BY193" s="523"/>
      <c r="BZ193" s="523"/>
      <c r="CA193" s="523"/>
      <c r="CB193" s="523"/>
      <c r="CC193" s="523"/>
      <c r="CD193" s="523"/>
      <c r="CE193" s="523"/>
      <c r="CF193" s="523"/>
      <c r="CG193" s="523"/>
      <c r="CH193" s="523"/>
      <c r="CI193" s="523"/>
      <c r="CJ193" s="523"/>
      <c r="CK193" s="523"/>
      <c r="CL193" s="413"/>
      <c r="CM193" s="413"/>
      <c r="CN193" s="413"/>
      <c r="CO193" s="413"/>
      <c r="CP193" s="413"/>
      <c r="CQ193" s="413"/>
    </row>
    <row r="194" spans="3:95"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c r="BP194" s="523"/>
      <c r="BQ194" s="523"/>
      <c r="BR194" s="523"/>
      <c r="BS194" s="523"/>
      <c r="BT194" s="523"/>
      <c r="BU194" s="523"/>
      <c r="BV194" s="523"/>
      <c r="BW194" s="523"/>
      <c r="BX194" s="523"/>
      <c r="BY194" s="523"/>
      <c r="BZ194" s="523"/>
      <c r="CA194" s="523"/>
      <c r="CB194" s="523"/>
      <c r="CC194" s="523"/>
      <c r="CD194" s="523"/>
      <c r="CE194" s="523"/>
      <c r="CF194" s="523"/>
      <c r="CG194" s="523"/>
      <c r="CH194" s="523"/>
      <c r="CI194" s="523"/>
      <c r="CJ194" s="523"/>
      <c r="CK194" s="523"/>
      <c r="CL194" s="413"/>
      <c r="CM194" s="413"/>
      <c r="CN194" s="413"/>
      <c r="CO194" s="413"/>
      <c r="CP194" s="413"/>
      <c r="CQ194" s="413"/>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c r="BP195" s="523"/>
      <c r="BQ195" s="523"/>
      <c r="BR195" s="523"/>
      <c r="BS195" s="523"/>
      <c r="BT195" s="523"/>
      <c r="BU195" s="523"/>
      <c r="BV195" s="523"/>
      <c r="BW195" s="523"/>
      <c r="BX195" s="523"/>
      <c r="BY195" s="523"/>
      <c r="BZ195" s="523"/>
      <c r="CA195" s="523"/>
      <c r="CB195" s="523"/>
      <c r="CC195" s="523"/>
      <c r="CD195" s="523"/>
      <c r="CE195" s="523"/>
      <c r="CF195" s="523"/>
      <c r="CG195" s="523"/>
      <c r="CH195" s="523"/>
      <c r="CI195" s="523"/>
      <c r="CJ195" s="523"/>
      <c r="CK195" s="523"/>
      <c r="CL195" s="413"/>
      <c r="CM195" s="413"/>
      <c r="CN195" s="413"/>
      <c r="CO195" s="413"/>
      <c r="CP195" s="413"/>
      <c r="CQ195" s="413"/>
    </row>
    <row r="196" spans="3:95" ht="14" hidden="1" customHeight="1" outlineLevel="1" x14ac:dyDescent="0.3">
      <c r="C196" s="1291" t="str">
        <f t="shared" si="80"/>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c r="BP196" s="523"/>
      <c r="BQ196" s="523"/>
      <c r="BR196" s="523"/>
      <c r="BS196" s="523"/>
      <c r="BT196" s="523"/>
      <c r="BU196" s="523"/>
      <c r="BV196" s="523"/>
      <c r="BW196" s="523"/>
      <c r="BX196" s="523"/>
      <c r="BY196" s="523"/>
      <c r="BZ196" s="523"/>
      <c r="CA196" s="523"/>
      <c r="CB196" s="523"/>
      <c r="CC196" s="523"/>
      <c r="CD196" s="523"/>
      <c r="CE196" s="523"/>
      <c r="CF196" s="523"/>
      <c r="CG196" s="523"/>
      <c r="CH196" s="523"/>
      <c r="CI196" s="523"/>
      <c r="CJ196" s="523"/>
      <c r="CK196" s="523"/>
      <c r="CL196" s="413"/>
      <c r="CM196" s="413"/>
      <c r="CN196" s="413"/>
      <c r="CO196" s="413"/>
      <c r="CP196" s="413"/>
      <c r="CQ196" s="413"/>
    </row>
    <row r="197" spans="3:95" ht="14" hidden="1" customHeight="1" outlineLevel="1" x14ac:dyDescent="0.3">
      <c r="C197" s="1291" t="str">
        <f t="shared" si="80"/>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c r="BP197" s="413"/>
      <c r="BQ197" s="413"/>
      <c r="BR197" s="413"/>
      <c r="BS197" s="413"/>
      <c r="BT197" s="413"/>
      <c r="BU197" s="413"/>
      <c r="BV197" s="413"/>
      <c r="BW197" s="413"/>
      <c r="BX197" s="413"/>
      <c r="BY197" s="413"/>
      <c r="BZ197" s="413"/>
      <c r="CA197" s="413"/>
      <c r="CB197" s="413"/>
      <c r="CC197" s="413"/>
      <c r="CD197" s="413"/>
      <c r="CE197" s="413"/>
      <c r="CF197" s="413"/>
      <c r="CG197" s="413"/>
      <c r="CH197" s="413"/>
      <c r="CI197" s="413"/>
      <c r="CJ197" s="413"/>
      <c r="CK197" s="413"/>
      <c r="CL197" s="413"/>
      <c r="CM197" s="413"/>
      <c r="CN197" s="413"/>
      <c r="CO197" s="413"/>
      <c r="CP197" s="413"/>
      <c r="CQ197" s="413"/>
    </row>
    <row r="198" spans="3:95" ht="14" hidden="1" customHeight="1" outlineLevel="1" x14ac:dyDescent="0.3">
      <c r="C198" s="1291" t="str">
        <f t="shared" si="80"/>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c r="BP198" s="413"/>
      <c r="BQ198" s="413"/>
      <c r="BR198" s="413"/>
      <c r="BS198" s="413"/>
      <c r="BT198" s="413"/>
      <c r="BU198" s="413"/>
      <c r="BV198" s="413"/>
      <c r="BW198" s="413"/>
      <c r="BX198" s="413"/>
      <c r="BY198" s="413"/>
      <c r="BZ198" s="413"/>
      <c r="CA198" s="413"/>
      <c r="CB198" s="413"/>
      <c r="CC198" s="413"/>
      <c r="CD198" s="413"/>
      <c r="CE198" s="413"/>
      <c r="CF198" s="413"/>
      <c r="CG198" s="413"/>
      <c r="CH198" s="413"/>
      <c r="CI198" s="413"/>
      <c r="CJ198" s="413"/>
      <c r="CK198" s="413"/>
      <c r="CL198" s="413"/>
      <c r="CM198" s="413"/>
      <c r="CN198" s="413"/>
      <c r="CO198" s="413"/>
      <c r="CP198" s="413"/>
      <c r="CQ198" s="413"/>
    </row>
    <row r="199" spans="3:95" ht="14" hidden="1" customHeight="1" outlineLevel="1" x14ac:dyDescent="0.3">
      <c r="C199" s="1291" t="str">
        <f t="shared" si="80"/>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c r="BP199" s="413"/>
      <c r="BQ199" s="413"/>
      <c r="BR199" s="413"/>
      <c r="BS199" s="413"/>
      <c r="BT199" s="413"/>
      <c r="BU199" s="413"/>
      <c r="BV199" s="413"/>
      <c r="BW199" s="413"/>
      <c r="BX199" s="413"/>
      <c r="BY199" s="413"/>
      <c r="BZ199" s="413"/>
      <c r="CA199" s="413"/>
      <c r="CB199" s="413"/>
      <c r="CC199" s="413"/>
      <c r="CD199" s="413"/>
      <c r="CE199" s="413"/>
      <c r="CF199" s="413"/>
      <c r="CG199" s="413"/>
      <c r="CH199" s="413"/>
      <c r="CI199" s="413"/>
      <c r="CJ199" s="413"/>
      <c r="CK199" s="413"/>
      <c r="CL199" s="413"/>
      <c r="CM199" s="413"/>
      <c r="CN199" s="413"/>
      <c r="CO199" s="413"/>
      <c r="CP199" s="413"/>
      <c r="CQ199" s="413"/>
    </row>
    <row r="200" spans="3:95" ht="14" hidden="1" customHeight="1" outlineLevel="1" x14ac:dyDescent="0.3">
      <c r="C200" s="1291" t="str">
        <f t="shared" si="80"/>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c r="BP200" s="413"/>
      <c r="BQ200" s="413"/>
      <c r="BR200" s="413"/>
      <c r="BS200" s="413"/>
      <c r="BT200" s="413"/>
      <c r="BU200" s="413"/>
      <c r="BV200" s="413"/>
      <c r="BW200" s="413"/>
      <c r="BX200" s="413"/>
      <c r="BY200" s="413"/>
      <c r="BZ200" s="413"/>
      <c r="CA200" s="413"/>
      <c r="CB200" s="413"/>
      <c r="CC200" s="413"/>
      <c r="CD200" s="413"/>
      <c r="CE200" s="413"/>
      <c r="CF200" s="413"/>
      <c r="CG200" s="413"/>
      <c r="CH200" s="413"/>
      <c r="CI200" s="413"/>
      <c r="CJ200" s="413"/>
      <c r="CK200" s="413"/>
      <c r="CL200" s="413"/>
      <c r="CM200" s="413"/>
      <c r="CN200" s="413"/>
      <c r="CO200" s="413"/>
      <c r="CP200" s="413"/>
      <c r="CQ200" s="413"/>
    </row>
    <row r="201" spans="3:95" ht="14" hidden="1" customHeight="1" outlineLevel="1" x14ac:dyDescent="0.3">
      <c r="C201" s="1291" t="str">
        <f t="shared" si="80"/>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0"/>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ref="C203:C234" si="82">IF(ISBLANK(C81),"",C81)</f>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 t="shared" si="81"/>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 t="shared" si="81"/>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ht="14" hidden="1" customHeight="1" outlineLevel="1" x14ac:dyDescent="0.3">
      <c r="C218" s="1291" t="str">
        <f t="shared" si="82"/>
        <v/>
      </c>
      <c r="D218" s="1318" t="str">
        <f t="shared" si="81"/>
        <v/>
      </c>
      <c r="E218" s="1326"/>
      <c r="F218" s="1327" t="str">
        <f>IF($E$30="Enter Duration (wks)","",IF($Y96="Enter Hrs/Wk","",IF($E$30&gt;='FORMULA REFS'!A$1,$Y96,"")))</f>
        <v/>
      </c>
      <c r="G218" s="1328"/>
      <c r="H218" s="1570"/>
      <c r="I218" s="1329" t="str">
        <f>IF($E$30="Enter Duration (wks)","",IF($Y96="Enter Hrs/Wk","",IF($E$30&gt;='FORMULA REFS'!B$1,$Y96,"")))</f>
        <v/>
      </c>
      <c r="J218" s="1323"/>
      <c r="K218" s="1286" t="str">
        <f>IF($E$30="Enter Duration (wks)","",IF($Y96="Enter Hrs/Wk","",IF($E$30&gt;='FORMULA REFS'!C$1,$Y96,"")))</f>
        <v/>
      </c>
      <c r="L218" s="882"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t="14" hidden="1" customHeight="1" outlineLevel="1" x14ac:dyDescent="0.3">
      <c r="C219" s="1291" t="str">
        <f t="shared" si="82"/>
        <v/>
      </c>
      <c r="D219" s="1318" t="str">
        <f t="shared" si="81"/>
        <v/>
      </c>
      <c r="E219" s="1326"/>
      <c r="F219" s="1327" t="str">
        <f>IF($E$30="Enter Duration (wks)","",IF($Y97="Enter Hrs/Wk","",IF($E$30&gt;='FORMULA REFS'!A$1,$Y97,"")))</f>
        <v/>
      </c>
      <c r="G219" s="1328"/>
      <c r="H219" s="1570"/>
      <c r="I219" s="1329" t="str">
        <f>IF($E$30="Enter Duration (wks)","",IF($Y97="Enter Hrs/Wk","",IF($E$30&gt;='FORMULA REFS'!B$1,$Y97,"")))</f>
        <v/>
      </c>
      <c r="J219" s="1323"/>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t="14" hidden="1" customHeight="1" outlineLevel="1" x14ac:dyDescent="0.3">
      <c r="C220" s="1291" t="str">
        <f t="shared" si="82"/>
        <v/>
      </c>
      <c r="D220" s="1318"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t="14" hidden="1" customHeight="1" outlineLevel="1" x14ac:dyDescent="0.3">
      <c r="C221" s="1291" t="str">
        <f t="shared" si="82"/>
        <v/>
      </c>
      <c r="D221" s="1318"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t="14" hidden="1" customHeight="1" outlineLevel="1" x14ac:dyDescent="0.3">
      <c r="C222" s="1291" t="str">
        <f t="shared" si="82"/>
        <v/>
      </c>
      <c r="D222" s="1318" t="str">
        <f>IF(K100="","",K100)</f>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t="14" hidden="1" customHeight="1" outlineLevel="1" x14ac:dyDescent="0.3">
      <c r="C223" s="1291" t="str">
        <f t="shared" si="82"/>
        <v/>
      </c>
      <c r="D223" s="1318" t="str">
        <f>IF(K101="","",K101)</f>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t="14" hidden="1" customHeight="1" outlineLevel="1" x14ac:dyDescent="0.3">
      <c r="C224" s="1291" t="str">
        <f t="shared" si="82"/>
        <v/>
      </c>
      <c r="D224" s="1318"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collapsed="1" x14ac:dyDescent="0.3">
      <c r="C225" s="1291" t="str">
        <f t="shared" si="82"/>
        <v/>
      </c>
      <c r="D225" s="1318" t="str">
        <f t="shared" si="81"/>
        <v/>
      </c>
      <c r="E225" s="1287"/>
      <c r="F225" s="1345" t="str">
        <f>IF($E$30="Enter Duration (wks)","",IF($Y103="Enter Hrs/Wk","",IF($E$30&gt;='FORMULA REFS'!A$1,$Y103,"")))</f>
        <v/>
      </c>
      <c r="G225" s="1345"/>
      <c r="H225" s="1571"/>
      <c r="I225" s="1346" t="str">
        <f>IF($E$30="Enter Duration (wks)","",IF($Y103="Enter Hrs/Wk","",IF($E$30&gt;='FORMULA REFS'!B$1,$Y103,"")))</f>
        <v/>
      </c>
      <c r="J225" s="1347"/>
      <c r="K225" s="1348" t="str">
        <f>IF($E$30="Enter Duration (wks)","",IF($Y103="Enter Hrs/Wk","",IF($E$30&gt;='FORMULA REFS'!C$1,$Y103,"")))</f>
        <v/>
      </c>
      <c r="L225" s="1276"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7"/>
      <c r="H226" s="1570"/>
      <c r="I226" s="1329" t="str">
        <f>IF($E$30="Enter Duration (wks)","",IF($Y104="Enter Hrs/Wk","",IF($E$30&gt;='FORMULA REFS'!B$1,$Y104,"")))</f>
        <v/>
      </c>
      <c r="J226" s="1316"/>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si="82"/>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idden="1" outlineLevel="1" x14ac:dyDescent="0.3">
      <c r="C229" s="1291" t="str">
        <f t="shared" si="82"/>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2"/>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2"/>
        <v/>
      </c>
      <c r="D231" s="1319" t="str">
        <f t="shared" si="81"/>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2"/>
        <v/>
      </c>
      <c r="D232" s="1319" t="str">
        <f t="shared" si="81"/>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2"/>
        <v/>
      </c>
      <c r="D233" s="1319" t="str">
        <f t="shared" si="81"/>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2"/>
        <v/>
      </c>
      <c r="D234" s="1319" t="str">
        <f t="shared" si="81"/>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ref="C235:C266" si="83">IF(ISBLANK(C113),"",C113)</f>
        <v/>
      </c>
      <c r="D235" s="1319" t="str">
        <f t="shared" si="81"/>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t="15" hidden="1" customHeight="1" outlineLevel="1" x14ac:dyDescent="0.3">
      <c r="C236" s="1291" t="str">
        <f t="shared" si="83"/>
        <v/>
      </c>
      <c r="D236" s="1319" t="str">
        <f t="shared" si="81"/>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1"/>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ref="D238:D269" si="84">IF(K116="","",K116)</f>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61"/>
      <c r="BQ248" s="461"/>
      <c r="BR248" s="461"/>
      <c r="BS248" s="461"/>
      <c r="BT248" s="461"/>
      <c r="BU248" s="461"/>
      <c r="BV248" s="461"/>
      <c r="BW248" s="461"/>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c r="BP249" s="553"/>
      <c r="BQ249" s="553"/>
      <c r="BR249" s="553"/>
      <c r="BS249" s="553"/>
      <c r="BT249" s="553"/>
      <c r="BU249" s="553"/>
      <c r="BV249" s="553"/>
      <c r="BW249" s="553"/>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c r="BP250" s="554"/>
      <c r="BQ250" s="554"/>
      <c r="BR250" s="554"/>
      <c r="BS250" s="554"/>
      <c r="BT250" s="554"/>
      <c r="BU250" s="554"/>
      <c r="BV250" s="554"/>
      <c r="BW250" s="554"/>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c r="BP251" s="439"/>
      <c r="BQ251" s="439"/>
      <c r="BR251" s="439"/>
      <c r="BS251" s="439"/>
      <c r="BT251" s="439"/>
      <c r="BU251" s="439"/>
      <c r="BV251" s="439"/>
      <c r="BW251" s="439"/>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c r="BP252" s="439"/>
      <c r="BQ252" s="439"/>
      <c r="BR252" s="439"/>
      <c r="BS252" s="439"/>
      <c r="BT252" s="439"/>
      <c r="BU252" s="439"/>
      <c r="BV252" s="439"/>
      <c r="BW252" s="439"/>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c r="BP253" s="439"/>
      <c r="BQ253" s="439"/>
      <c r="BR253" s="439"/>
      <c r="BS253" s="439"/>
      <c r="BT253" s="439"/>
      <c r="BU253" s="439"/>
      <c r="BV253" s="439"/>
      <c r="BW253" s="439"/>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c r="BP254" s="439"/>
      <c r="BQ254" s="439"/>
      <c r="BR254" s="439"/>
      <c r="BS254" s="439"/>
      <c r="BT254" s="439"/>
      <c r="BU254" s="439"/>
      <c r="BV254" s="439"/>
      <c r="BW254" s="439"/>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c r="BP255" s="439"/>
      <c r="BQ255" s="439"/>
      <c r="BR255" s="439"/>
      <c r="BS255" s="439"/>
      <c r="BT255" s="439"/>
      <c r="BU255" s="439"/>
      <c r="BV255" s="439"/>
      <c r="BW255" s="439"/>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si="83"/>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3"/>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882" t="str">
        <f>IF($E$30="Enter Duration (wks)","",IF($Y139="Enter Hrs/Wk","",IF($E$30&gt;='FORMULA REFS'!M$1,$Y139,"")))</f>
        <v/>
      </c>
      <c r="V261" s="882"/>
      <c r="W261" s="882"/>
      <c r="X261" s="128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1" t="str">
        <f t="shared" si="83"/>
        <v/>
      </c>
      <c r="D262" s="1319" t="str">
        <f t="shared" si="84"/>
        <v/>
      </c>
      <c r="E262" s="1326"/>
      <c r="F262" s="1327" t="str">
        <f>IF($E$30="Enter Duration (wks)","",IF($Y140="Enter Hrs/Wk","",IF($E$30&gt;='FORMULA REFS'!A$1,$Y140,"")))</f>
        <v/>
      </c>
      <c r="G262" s="1328"/>
      <c r="H262" s="1570"/>
      <c r="I262" s="1329" t="str">
        <f>IF($E$30="Enter Duration (wks)","",IF($Y140="Enter Hrs/Wk","",IF($E$30&gt;='FORMULA REFS'!B$1,$Y140,"")))</f>
        <v/>
      </c>
      <c r="J262" s="1323"/>
      <c r="K262" s="1286" t="str">
        <f>IF($E$30="Enter Duration (wks)","",IF($Y140="Enter Hrs/Wk","",IF($E$30&gt;='FORMULA REFS'!C$1,$Y140,"")))</f>
        <v/>
      </c>
      <c r="L262" s="882" t="str">
        <f>IF($E$30="Enter Duration (wks)","",IF($Y140="Enter Hrs/Wk","",IF($E$30&gt;='FORMULA REFS'!D$1,$Y140,"")))</f>
        <v/>
      </c>
      <c r="M262" s="882" t="str">
        <f>IF($E$30="Enter Duration (wks)","",IF($Y140="Enter Hrs/Wk","",IF($E$30&gt;='FORMULA REFS'!E$1,$Y140,"")))</f>
        <v/>
      </c>
      <c r="N262" s="882" t="str">
        <f>IF($E$30="Enter Duration (wks)","",IF($Y140="Enter Hrs/Wk","",IF($E$30&gt;='FORMULA REFS'!F$1,$Y140,"")))</f>
        <v/>
      </c>
      <c r="O262" s="882" t="str">
        <f>IF($E$30="Enter Duration (wks)","",IF($Y140="Enter Hrs/Wk","",IF($E$30&gt;='FORMULA REFS'!G$1,$Y140,"")))</f>
        <v/>
      </c>
      <c r="P262" s="882" t="str">
        <f>IF($E$30="Enter Duration (wks)","",IF($Y140="Enter Hrs/Wk","",IF($E$30&gt;='FORMULA REFS'!H$1,$Y140,"")))</f>
        <v/>
      </c>
      <c r="Q262" s="882" t="str">
        <f>IF($E$30="Enter Duration (wks)","",IF($Y140="Enter Hrs/Wk","",IF($E$30&gt;='FORMULA REFS'!I$1,$Y140,"")))</f>
        <v/>
      </c>
      <c r="R262" s="882" t="str">
        <f>IF($E$30="Enter Duration (wks)","",IF($Y140="Enter Hrs/Wk","",IF($E$30&gt;='FORMULA REFS'!J$1,$Y140,"")))</f>
        <v/>
      </c>
      <c r="S262" s="882" t="str">
        <f>IF($E$30="Enter Duration (wks)","",IF($Y140="Enter Hrs/Wk","",IF($E$30&gt;='FORMULA REFS'!K$1,$Y140,"")))</f>
        <v/>
      </c>
      <c r="T262" s="1323" t="str">
        <f>IF($E$30="Enter Duration (wks)","",IF($Y140="Enter Hrs/Wk","",IF($E$30&gt;='FORMULA REFS'!L$1,$Y140,"")))</f>
        <v/>
      </c>
      <c r="U262" s="882" t="str">
        <f>IF($E$30="Enter Duration (wks)","",IF($Y140="Enter Hrs/Wk","",IF($E$30&gt;='FORMULA REFS'!M$1,$Y140,"")))</f>
        <v/>
      </c>
      <c r="V262" s="882"/>
      <c r="W262" s="882"/>
      <c r="X262" s="1285"/>
      <c r="Y262" s="1285" t="str">
        <f>IF($E$30="Enter Duration (wks)","",IF($Y140="Enter Hrs/Wk","",IF($E$30&gt;='FORMULA REFS'!N$1,$Y140,"")))</f>
        <v/>
      </c>
      <c r="Z262" s="1343" t="str">
        <f>IF($E$30="Enter Duration (wks)","",IF($Y140="Enter Hrs/Wk","",IF($E$30&gt;='FORMULA REFS'!O$1,$Y140,"")))</f>
        <v/>
      </c>
      <c r="AA262" s="882" t="str">
        <f>IF($E$30="Enter Duration (wks)","",IF($Y140="Enter Hrs/Wk","",IF($E$30&gt;='FORMULA REFS'!P$1,$Y140,"")))</f>
        <v/>
      </c>
      <c r="AB262" s="882" t="str">
        <f>IF($E$30="Enter Duration (wks)","",IF($Y140="Enter Hrs/Wk","",IF($E$30&gt;='FORMULA REFS'!Q$1,$Y140,"")))</f>
        <v/>
      </c>
      <c r="AC262" s="882"/>
      <c r="AD262" s="882"/>
      <c r="AE262" s="882"/>
      <c r="AF262" s="882"/>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hidden="1" outlineLevel="1" x14ac:dyDescent="0.3">
      <c r="C263" s="1291" t="str">
        <f t="shared" si="83"/>
        <v/>
      </c>
      <c r="D263" s="1319" t="str">
        <f t="shared" si="84"/>
        <v/>
      </c>
      <c r="E263" s="1326"/>
      <c r="F263" s="1327" t="str">
        <f>IF($E$30="Enter Duration (wks)","",IF($Y141="Enter Hrs/Wk","",IF($E$30&gt;='FORMULA REFS'!A$1,$Y141,"")))</f>
        <v/>
      </c>
      <c r="G263" s="1328"/>
      <c r="H263" s="1570"/>
      <c r="I263" s="1329" t="str">
        <f>IF($E$30="Enter Duration (wks)","",IF($Y141="Enter Hrs/Wk","",IF($E$30&gt;='FORMULA REFS'!B$1,$Y141,"")))</f>
        <v/>
      </c>
      <c r="J263" s="1323"/>
      <c r="K263" s="1286" t="str">
        <f>IF($E$30="Enter Duration (wks)","",IF($Y141="Enter Hrs/Wk","",IF($E$30&gt;='FORMULA REFS'!C$1,$Y141,"")))</f>
        <v/>
      </c>
      <c r="L263" s="882" t="str">
        <f>IF($E$30="Enter Duration (wks)","",IF($Y141="Enter Hrs/Wk","",IF($E$30&gt;='FORMULA REFS'!D$1,$Y141,"")))</f>
        <v/>
      </c>
      <c r="M263" s="882" t="str">
        <f>IF($E$30="Enter Duration (wks)","",IF($Y141="Enter Hrs/Wk","",IF($E$30&gt;='FORMULA REFS'!E$1,$Y141,"")))</f>
        <v/>
      </c>
      <c r="N263" s="882" t="str">
        <f>IF($E$30="Enter Duration (wks)","",IF($Y141="Enter Hrs/Wk","",IF($E$30&gt;='FORMULA REFS'!F$1,$Y141,"")))</f>
        <v/>
      </c>
      <c r="O263" s="882" t="str">
        <f>IF($E$30="Enter Duration (wks)","",IF($Y141="Enter Hrs/Wk","",IF($E$30&gt;='FORMULA REFS'!G$1,$Y141,"")))</f>
        <v/>
      </c>
      <c r="P263" s="882" t="str">
        <f>IF($E$30="Enter Duration (wks)","",IF($Y141="Enter Hrs/Wk","",IF($E$30&gt;='FORMULA REFS'!H$1,$Y141,"")))</f>
        <v/>
      </c>
      <c r="Q263" s="882" t="str">
        <f>IF($E$30="Enter Duration (wks)","",IF($Y141="Enter Hrs/Wk","",IF($E$30&gt;='FORMULA REFS'!I$1,$Y141,"")))</f>
        <v/>
      </c>
      <c r="R263" s="882" t="str">
        <f>IF($E$30="Enter Duration (wks)","",IF($Y141="Enter Hrs/Wk","",IF($E$30&gt;='FORMULA REFS'!J$1,$Y141,"")))</f>
        <v/>
      </c>
      <c r="S263" s="882" t="str">
        <f>IF($E$30="Enter Duration (wks)","",IF($Y141="Enter Hrs/Wk","",IF($E$30&gt;='FORMULA REFS'!K$1,$Y141,"")))</f>
        <v/>
      </c>
      <c r="T263" s="1323" t="str">
        <f>IF($E$30="Enter Duration (wks)","",IF($Y141="Enter Hrs/Wk","",IF($E$30&gt;='FORMULA REFS'!L$1,$Y141,"")))</f>
        <v/>
      </c>
      <c r="U263" s="882" t="str">
        <f>IF($E$30="Enter Duration (wks)","",IF($Y141="Enter Hrs/Wk","",IF($E$30&gt;='FORMULA REFS'!M$1,$Y141,"")))</f>
        <v/>
      </c>
      <c r="V263" s="882"/>
      <c r="W263" s="882"/>
      <c r="X263" s="1285"/>
      <c r="Y263" s="1285" t="str">
        <f>IF($E$30="Enter Duration (wks)","",IF($Y141="Enter Hrs/Wk","",IF($E$30&gt;='FORMULA REFS'!N$1,$Y141,"")))</f>
        <v/>
      </c>
      <c r="Z263" s="1343" t="str">
        <f>IF($E$30="Enter Duration (wks)","",IF($Y141="Enter Hrs/Wk","",IF($E$30&gt;='FORMULA REFS'!O$1,$Y141,"")))</f>
        <v/>
      </c>
      <c r="AA263" s="882" t="str">
        <f>IF($E$30="Enter Duration (wks)","",IF($Y141="Enter Hrs/Wk","",IF($E$30&gt;='FORMULA REFS'!P$1,$Y141,"")))</f>
        <v/>
      </c>
      <c r="AB263" s="882" t="str">
        <f>IF($E$30="Enter Duration (wks)","",IF($Y141="Enter Hrs/Wk","",IF($E$30&gt;='FORMULA REFS'!Q$1,$Y141,"")))</f>
        <v/>
      </c>
      <c r="AC263" s="882"/>
      <c r="AD263" s="882"/>
      <c r="AE263" s="882"/>
      <c r="AF263" s="882"/>
      <c r="AG263" s="1286" t="str">
        <f>IF($E$30="Enter Duration (wks)","",IF($Y141="Enter Hrs/Wk","",IF($E$30&gt;='FORMULA REFS'!R$1,$Y141,"")))</f>
        <v/>
      </c>
      <c r="AH263" s="1286" t="str">
        <f>IF($E$30="Enter Duration (wks)","",IF($Y141="Enter Hrs/Wk","",IF($E$30&gt;='FORMULA REFS'!S$1,$Y141,"")))</f>
        <v/>
      </c>
      <c r="AI263" s="1286" t="str">
        <f>IF($E$30="Enter Duration (wks)","",IF($Y141="Enter Hrs/Wk","",IF($E$30&gt;='FORMULA REFS'!T$1,$Y141,"")))</f>
        <v/>
      </c>
      <c r="AJ263" s="1286" t="str">
        <f>IF($E$30="Enter Duration (wks)","",IF($Y141="Enter Hrs/Wk","",IF($E$30&gt;='FORMULA REFS'!U$1,$Y141,"")))</f>
        <v/>
      </c>
      <c r="AK263" s="1286" t="str">
        <f>IF($E$30="Enter Duration (wks)","",IF($Y141="Enter Hrs/Wk","",IF($E$30&gt;='FORMULA REFS'!V$1,$Y141,"")))</f>
        <v/>
      </c>
      <c r="AL263" s="1286" t="str">
        <f>IF($E$30="Enter Duration (wks)","",IF($Y141="Enter Hrs/Wk","",IF($E$30&gt;='FORMULA REFS'!W$1,$Y141,"")))</f>
        <v/>
      </c>
      <c r="AM263" s="1286" t="str">
        <f>IF($E$30="Enter Duration (wks)","",IF($Y141="Enter Hrs/Wk","",IF($E$30&gt;='FORMULA REFS'!X$1,$Y141,"")))</f>
        <v/>
      </c>
      <c r="AN263" s="1286" t="str">
        <f>IF($E$30="Enter Duration (wks)","",IF($Y141="Enter Hrs/Wk","",IF($E$30&gt;='FORMULA REFS'!Y$1,$Y141,"")))</f>
        <v/>
      </c>
      <c r="AO263" s="1286" t="str">
        <f>IF($E$30="Enter Duration (wks)","",IF($Y141="Enter Hrs/Wk","",IF($E$30&gt;='FORMULA REFS'!Z$1,$Y141,"")))</f>
        <v/>
      </c>
      <c r="AP263" s="1286" t="str">
        <f>IF($E$30="Enter Duration (wks)","",IF($Y141="Enter Hrs/Wk","",IF($E$30&gt;='FORMULA REFS'!AA$1,$Y141,"")))</f>
        <v/>
      </c>
      <c r="AQ263" s="1286" t="str">
        <f>IF($E$30="Enter Duration (wks)","",IF($Y141="Enter Hrs/Wk","",IF($E$30&gt;='FORMULA REFS'!AB$1,$Y141,"")))</f>
        <v/>
      </c>
      <c r="AR263" s="1286" t="str">
        <f>IF($E$30="Enter Duration (wks)","",IF($Y141="Enter Hrs/Wk","",IF($E$30&gt;='FORMULA REFS'!AC$1,$Y141,"")))</f>
        <v/>
      </c>
      <c r="AS263" s="1286" t="str">
        <f>IF($E$30="Enter Duration (wks)","",IF($Y141="Enter Hrs/Wk","",IF($E$30&gt;='FORMULA REFS'!AD$1,$Y141,"")))</f>
        <v/>
      </c>
      <c r="AT263" s="1286" t="str">
        <f>IF($E$30="Enter Duration (wks)","",IF($Y141="Enter Hrs/Wk","",IF($E$30&gt;='FORMULA REFS'!AE$1,$Y141,"")))</f>
        <v/>
      </c>
      <c r="AU263" s="1286" t="str">
        <f>IF($E$30="Enter Duration (wks)","",IF($Y141="Enter Hrs/Wk","",IF($E$30&gt;='FORMULA REFS'!AF$1,$Y141,"")))</f>
        <v/>
      </c>
      <c r="AV263" s="1286" t="str">
        <f>IF($E$30="Enter Duration (wks)","",IF($Y141="Enter Hrs/Wk","",IF($E$30&gt;='FORMULA REFS'!AG$1,$Y141,"")))</f>
        <v/>
      </c>
      <c r="AW263" s="1286" t="str">
        <f>IF($E$30="Enter Duration (wks)","",IF($Y141="Enter Hrs/Wk","",IF($E$30&gt;='FORMULA REFS'!AH$1,$Y141,"")))</f>
        <v/>
      </c>
      <c r="AX263" s="1286" t="str">
        <f>IF($E$30="Enter Duration (wks)","",IF($Y141="Enter Hrs/Wk","",IF($E$30&gt;='FORMULA REFS'!AI$1,$Y141,"")))</f>
        <v/>
      </c>
      <c r="AY263" s="1286" t="str">
        <f>IF($E$30="Enter Duration (wks)","",IF($Y141="Enter Hrs/Wk","",IF($E$30&gt;='FORMULA REFS'!AJ$1,$Y141,"")))</f>
        <v/>
      </c>
      <c r="AZ263" s="1286" t="str">
        <f>IF($E$30="Enter Duration (wks)","",IF($Y141="Enter Hrs/Wk","",IF($E$30&gt;='FORMULA REFS'!AK$1,$Y141,"")))</f>
        <v/>
      </c>
      <c r="BA263" s="1286" t="str">
        <f>IF($E$30="Enter Duration (wks)","",IF($Y141="Enter Hrs/Wk","",IF($E$30&gt;='FORMULA REFS'!AL$1,$Y141,"")))</f>
        <v/>
      </c>
      <c r="BB263" s="1286" t="str">
        <f>IF($E$30="Enter Duration (wks)","",IF($Y141="Enter Hrs/Wk","",IF($E$30&gt;='FORMULA REFS'!AM$1,$Y141,"")))</f>
        <v/>
      </c>
      <c r="BC263" s="1286" t="str">
        <f>IF($E$30="Enter Duration (wks)","",IF($Y141="Enter Hrs/Wk","",IF($E$30&gt;='FORMULA REFS'!AN$1,$Y141,"")))</f>
        <v/>
      </c>
      <c r="BD263" s="1286" t="str">
        <f>IF($E$30="Enter Duration (wks)","",IF($Y141="Enter Hrs/Wk","",IF($E$30&gt;='FORMULA REFS'!AO$1,$Y141,"")))</f>
        <v/>
      </c>
      <c r="BE263" s="1286" t="str">
        <f>IF($E$30="Enter Duration (wks)","",IF($Y141="Enter Hrs/Wk","",IF($E$30&gt;='FORMULA REFS'!AP$1,$Y141,"")))</f>
        <v/>
      </c>
      <c r="BF263" s="1286" t="str">
        <f>IF($E$30="Enter Duration (wks)","",IF($Y141="Enter Hrs/Wk","",IF($E$30&gt;='FORMULA REFS'!AQ$1,$Y141,"")))</f>
        <v/>
      </c>
      <c r="BG263" s="1286" t="str">
        <f>IF($E$30="Enter Duration (wks)","",IF($Y141="Enter Hrs/Wk","",IF($E$30&gt;='FORMULA REFS'!AR$1,$Y141,"")))</f>
        <v/>
      </c>
      <c r="BH263" s="1286" t="str">
        <f>IF($E$30="Enter Duration (wks)","",IF($Y141="Enter Hrs/Wk","",IF($E$30&gt;='FORMULA REFS'!AS$1,$Y141,"")))</f>
        <v/>
      </c>
      <c r="BI263" s="1286" t="str">
        <f>IF($E$30="Enter Duration (wks)","",IF($Y141="Enter Hrs/Wk","",IF($E$30&gt;='FORMULA REFS'!AT$1,$Y141,"")))</f>
        <v/>
      </c>
      <c r="BJ263" s="1286" t="str">
        <f>IF($E$30="Enter Duration (wks)","",IF($Y141="Enter Hrs/Wk","",IF($E$30&gt;='FORMULA REFS'!AU$1,$Y141,"")))</f>
        <v/>
      </c>
      <c r="BK263" s="1286" t="str">
        <f>IF($E$30="Enter Duration (wks)","",IF($Y141="Enter Hrs/Wk","",IF($E$30&gt;='FORMULA REFS'!AV$1,$Y141,"")))</f>
        <v/>
      </c>
      <c r="BL263" s="1286" t="str">
        <f>IF($E$30="Enter Duration (wks)","",IF($Y141="Enter Hrs/Wk","",IF($E$30&gt;='FORMULA REFS'!AW$1,$Y141,"")))</f>
        <v/>
      </c>
      <c r="BM263" s="1286" t="str">
        <f>IF($E$30="Enter Duration (wks)","",IF($Y141="Enter Hrs/Wk","",IF($E$30&gt;='FORMULA REFS'!AX$1,$Y141,"")))</f>
        <v/>
      </c>
      <c r="BN263" s="1286" t="str">
        <f>IF($E$30="Enter Duration (wks)","",IF($Y141="Enter Hrs/Wk","",IF($E$30&gt;='FORMULA REFS'!AY$1,$Y141,"")))</f>
        <v/>
      </c>
      <c r="BO263" s="1286" t="str">
        <f>IF($E$30="Enter Duration (wks)","",IF($Y141="Enter Hrs/Wk","",IF($E$30&gt;='FORMULA REFS'!AZ$1,$Y141,"")))</f>
        <v/>
      </c>
    </row>
    <row r="264" spans="2:67" hidden="1" outlineLevel="1" x14ac:dyDescent="0.3">
      <c r="C264" s="1291" t="str">
        <f t="shared" si="83"/>
        <v/>
      </c>
      <c r="D264" s="1319" t="str">
        <f t="shared" si="84"/>
        <v/>
      </c>
      <c r="E264" s="1326"/>
      <c r="F264" s="1327" t="str">
        <f>IF($E$30="Enter Duration (wks)","",IF($Y142="Enter Hrs/Wk","",IF($E$30&gt;='FORMULA REFS'!A$1,$Y142,"")))</f>
        <v/>
      </c>
      <c r="G264" s="1328"/>
      <c r="H264" s="1570"/>
      <c r="I264" s="1329" t="str">
        <f>IF($E$30="Enter Duration (wks)","",IF($Y142="Enter Hrs/Wk","",IF($E$30&gt;='FORMULA REFS'!B$1,$Y142,"")))</f>
        <v/>
      </c>
      <c r="J264" s="1323"/>
      <c r="K264" s="1286" t="str">
        <f>IF($E$30="Enter Duration (wks)","",IF($Y142="Enter Hrs/Wk","",IF($E$30&gt;='FORMULA REFS'!C$1,$Y142,"")))</f>
        <v/>
      </c>
      <c r="L264" s="882" t="str">
        <f>IF($E$30="Enter Duration (wks)","",IF($Y142="Enter Hrs/Wk","",IF($E$30&gt;='FORMULA REFS'!D$1,$Y142,"")))</f>
        <v/>
      </c>
      <c r="M264" s="882" t="str">
        <f>IF($E$30="Enter Duration (wks)","",IF($Y142="Enter Hrs/Wk","",IF($E$30&gt;='FORMULA REFS'!E$1,$Y142,"")))</f>
        <v/>
      </c>
      <c r="N264" s="882" t="str">
        <f>IF($E$30="Enter Duration (wks)","",IF($Y142="Enter Hrs/Wk","",IF($E$30&gt;='FORMULA REFS'!F$1,$Y142,"")))</f>
        <v/>
      </c>
      <c r="O264" s="882" t="str">
        <f>IF($E$30="Enter Duration (wks)","",IF($Y142="Enter Hrs/Wk","",IF($E$30&gt;='FORMULA REFS'!G$1,$Y142,"")))</f>
        <v/>
      </c>
      <c r="P264" s="882" t="str">
        <f>IF($E$30="Enter Duration (wks)","",IF($Y142="Enter Hrs/Wk","",IF($E$30&gt;='FORMULA REFS'!H$1,$Y142,"")))</f>
        <v/>
      </c>
      <c r="Q264" s="882" t="str">
        <f>IF($E$30="Enter Duration (wks)","",IF($Y142="Enter Hrs/Wk","",IF($E$30&gt;='FORMULA REFS'!I$1,$Y142,"")))</f>
        <v/>
      </c>
      <c r="R264" s="882" t="str">
        <f>IF($E$30="Enter Duration (wks)","",IF($Y142="Enter Hrs/Wk","",IF($E$30&gt;='FORMULA REFS'!J$1,$Y142,"")))</f>
        <v/>
      </c>
      <c r="S264" s="882" t="str">
        <f>IF($E$30="Enter Duration (wks)","",IF($Y142="Enter Hrs/Wk","",IF($E$30&gt;='FORMULA REFS'!K$1,$Y142,"")))</f>
        <v/>
      </c>
      <c r="T264" s="1323" t="str">
        <f>IF($E$30="Enter Duration (wks)","",IF($Y142="Enter Hrs/Wk","",IF($E$30&gt;='FORMULA REFS'!L$1,$Y142,"")))</f>
        <v/>
      </c>
      <c r="U264" s="882" t="str">
        <f>IF($E$30="Enter Duration (wks)","",IF($Y142="Enter Hrs/Wk","",IF($E$30&gt;='FORMULA REFS'!M$1,$Y142,"")))</f>
        <v/>
      </c>
      <c r="V264" s="882"/>
      <c r="W264" s="882"/>
      <c r="X264" s="1285"/>
      <c r="Y264" s="1285" t="str">
        <f>IF($E$30="Enter Duration (wks)","",IF($Y142="Enter Hrs/Wk","",IF($E$30&gt;='FORMULA REFS'!N$1,$Y142,"")))</f>
        <v/>
      </c>
      <c r="Z264" s="1343" t="str">
        <f>IF($E$30="Enter Duration (wks)","",IF($Y142="Enter Hrs/Wk","",IF($E$30&gt;='FORMULA REFS'!O$1,$Y142,"")))</f>
        <v/>
      </c>
      <c r="AA264" s="882" t="str">
        <f>IF($E$30="Enter Duration (wks)","",IF($Y142="Enter Hrs/Wk","",IF($E$30&gt;='FORMULA REFS'!P$1,$Y142,"")))</f>
        <v/>
      </c>
      <c r="AB264" s="882" t="str">
        <f>IF($E$30="Enter Duration (wks)","",IF($Y142="Enter Hrs/Wk","",IF($E$30&gt;='FORMULA REFS'!Q$1,$Y142,"")))</f>
        <v/>
      </c>
      <c r="AC264" s="882"/>
      <c r="AD264" s="882"/>
      <c r="AE264" s="882"/>
      <c r="AF264" s="882"/>
      <c r="AG264" s="1286" t="str">
        <f>IF($E$30="Enter Duration (wks)","",IF($Y142="Enter Hrs/Wk","",IF($E$30&gt;='FORMULA REFS'!R$1,$Y142,"")))</f>
        <v/>
      </c>
      <c r="AH264" s="1286" t="str">
        <f>IF($E$30="Enter Duration (wks)","",IF($Y142="Enter Hrs/Wk","",IF($E$30&gt;='FORMULA REFS'!S$1,$Y142,"")))</f>
        <v/>
      </c>
      <c r="AI264" s="1286" t="str">
        <f>IF($E$30="Enter Duration (wks)","",IF($Y142="Enter Hrs/Wk","",IF($E$30&gt;='FORMULA REFS'!T$1,$Y142,"")))</f>
        <v/>
      </c>
      <c r="AJ264" s="1286" t="str">
        <f>IF($E$30="Enter Duration (wks)","",IF($Y142="Enter Hrs/Wk","",IF($E$30&gt;='FORMULA REFS'!U$1,$Y142,"")))</f>
        <v/>
      </c>
      <c r="AK264" s="1286" t="str">
        <f>IF($E$30="Enter Duration (wks)","",IF($Y142="Enter Hrs/Wk","",IF($E$30&gt;='FORMULA REFS'!V$1,$Y142,"")))</f>
        <v/>
      </c>
      <c r="AL264" s="1286" t="str">
        <f>IF($E$30="Enter Duration (wks)","",IF($Y142="Enter Hrs/Wk","",IF($E$30&gt;='FORMULA REFS'!W$1,$Y142,"")))</f>
        <v/>
      </c>
      <c r="AM264" s="1286" t="str">
        <f>IF($E$30="Enter Duration (wks)","",IF($Y142="Enter Hrs/Wk","",IF($E$30&gt;='FORMULA REFS'!X$1,$Y142,"")))</f>
        <v/>
      </c>
      <c r="AN264" s="1286" t="str">
        <f>IF($E$30="Enter Duration (wks)","",IF($Y142="Enter Hrs/Wk","",IF($E$30&gt;='FORMULA REFS'!Y$1,$Y142,"")))</f>
        <v/>
      </c>
      <c r="AO264" s="1286" t="str">
        <f>IF($E$30="Enter Duration (wks)","",IF($Y142="Enter Hrs/Wk","",IF($E$30&gt;='FORMULA REFS'!Z$1,$Y142,"")))</f>
        <v/>
      </c>
      <c r="AP264" s="1286" t="str">
        <f>IF($E$30="Enter Duration (wks)","",IF($Y142="Enter Hrs/Wk","",IF($E$30&gt;='FORMULA REFS'!AA$1,$Y142,"")))</f>
        <v/>
      </c>
      <c r="AQ264" s="1286" t="str">
        <f>IF($E$30="Enter Duration (wks)","",IF($Y142="Enter Hrs/Wk","",IF($E$30&gt;='FORMULA REFS'!AB$1,$Y142,"")))</f>
        <v/>
      </c>
      <c r="AR264" s="1286" t="str">
        <f>IF($E$30="Enter Duration (wks)","",IF($Y142="Enter Hrs/Wk","",IF($E$30&gt;='FORMULA REFS'!AC$1,$Y142,"")))</f>
        <v/>
      </c>
      <c r="AS264" s="1286" t="str">
        <f>IF($E$30="Enter Duration (wks)","",IF($Y142="Enter Hrs/Wk","",IF($E$30&gt;='FORMULA REFS'!AD$1,$Y142,"")))</f>
        <v/>
      </c>
      <c r="AT264" s="1286" t="str">
        <f>IF($E$30="Enter Duration (wks)","",IF($Y142="Enter Hrs/Wk","",IF($E$30&gt;='FORMULA REFS'!AE$1,$Y142,"")))</f>
        <v/>
      </c>
      <c r="AU264" s="1286" t="str">
        <f>IF($E$30="Enter Duration (wks)","",IF($Y142="Enter Hrs/Wk","",IF($E$30&gt;='FORMULA REFS'!AF$1,$Y142,"")))</f>
        <v/>
      </c>
      <c r="AV264" s="1286" t="str">
        <f>IF($E$30="Enter Duration (wks)","",IF($Y142="Enter Hrs/Wk","",IF($E$30&gt;='FORMULA REFS'!AG$1,$Y142,"")))</f>
        <v/>
      </c>
      <c r="AW264" s="1286" t="str">
        <f>IF($E$30="Enter Duration (wks)","",IF($Y142="Enter Hrs/Wk","",IF($E$30&gt;='FORMULA REFS'!AH$1,$Y142,"")))</f>
        <v/>
      </c>
      <c r="AX264" s="1286" t="str">
        <f>IF($E$30="Enter Duration (wks)","",IF($Y142="Enter Hrs/Wk","",IF($E$30&gt;='FORMULA REFS'!AI$1,$Y142,"")))</f>
        <v/>
      </c>
      <c r="AY264" s="1286" t="str">
        <f>IF($E$30="Enter Duration (wks)","",IF($Y142="Enter Hrs/Wk","",IF($E$30&gt;='FORMULA REFS'!AJ$1,$Y142,"")))</f>
        <v/>
      </c>
      <c r="AZ264" s="1286" t="str">
        <f>IF($E$30="Enter Duration (wks)","",IF($Y142="Enter Hrs/Wk","",IF($E$30&gt;='FORMULA REFS'!AK$1,$Y142,"")))</f>
        <v/>
      </c>
      <c r="BA264" s="1286" t="str">
        <f>IF($E$30="Enter Duration (wks)","",IF($Y142="Enter Hrs/Wk","",IF($E$30&gt;='FORMULA REFS'!AL$1,$Y142,"")))</f>
        <v/>
      </c>
      <c r="BB264" s="1286" t="str">
        <f>IF($E$30="Enter Duration (wks)","",IF($Y142="Enter Hrs/Wk","",IF($E$30&gt;='FORMULA REFS'!AM$1,$Y142,"")))</f>
        <v/>
      </c>
      <c r="BC264" s="1286" t="str">
        <f>IF($E$30="Enter Duration (wks)","",IF($Y142="Enter Hrs/Wk","",IF($E$30&gt;='FORMULA REFS'!AN$1,$Y142,"")))</f>
        <v/>
      </c>
      <c r="BD264" s="1286" t="str">
        <f>IF($E$30="Enter Duration (wks)","",IF($Y142="Enter Hrs/Wk","",IF($E$30&gt;='FORMULA REFS'!AO$1,$Y142,"")))</f>
        <v/>
      </c>
      <c r="BE264" s="1286" t="str">
        <f>IF($E$30="Enter Duration (wks)","",IF($Y142="Enter Hrs/Wk","",IF($E$30&gt;='FORMULA REFS'!AP$1,$Y142,"")))</f>
        <v/>
      </c>
      <c r="BF264" s="1286" t="str">
        <f>IF($E$30="Enter Duration (wks)","",IF($Y142="Enter Hrs/Wk","",IF($E$30&gt;='FORMULA REFS'!AQ$1,$Y142,"")))</f>
        <v/>
      </c>
      <c r="BG264" s="1286" t="str">
        <f>IF($E$30="Enter Duration (wks)","",IF($Y142="Enter Hrs/Wk","",IF($E$30&gt;='FORMULA REFS'!AR$1,$Y142,"")))</f>
        <v/>
      </c>
      <c r="BH264" s="1286" t="str">
        <f>IF($E$30="Enter Duration (wks)","",IF($Y142="Enter Hrs/Wk","",IF($E$30&gt;='FORMULA REFS'!AS$1,$Y142,"")))</f>
        <v/>
      </c>
      <c r="BI264" s="1286" t="str">
        <f>IF($E$30="Enter Duration (wks)","",IF($Y142="Enter Hrs/Wk","",IF($E$30&gt;='FORMULA REFS'!AT$1,$Y142,"")))</f>
        <v/>
      </c>
      <c r="BJ264" s="1286" t="str">
        <f>IF($E$30="Enter Duration (wks)","",IF($Y142="Enter Hrs/Wk","",IF($E$30&gt;='FORMULA REFS'!AU$1,$Y142,"")))</f>
        <v/>
      </c>
      <c r="BK264" s="1286" t="str">
        <f>IF($E$30="Enter Duration (wks)","",IF($Y142="Enter Hrs/Wk","",IF($E$30&gt;='FORMULA REFS'!AV$1,$Y142,"")))</f>
        <v/>
      </c>
      <c r="BL264" s="1286" t="str">
        <f>IF($E$30="Enter Duration (wks)","",IF($Y142="Enter Hrs/Wk","",IF($E$30&gt;='FORMULA REFS'!AW$1,$Y142,"")))</f>
        <v/>
      </c>
      <c r="BM264" s="1286" t="str">
        <f>IF($E$30="Enter Duration (wks)","",IF($Y142="Enter Hrs/Wk","",IF($E$30&gt;='FORMULA REFS'!AX$1,$Y142,"")))</f>
        <v/>
      </c>
      <c r="BN264" s="1286" t="str">
        <f>IF($E$30="Enter Duration (wks)","",IF($Y142="Enter Hrs/Wk","",IF($E$30&gt;='FORMULA REFS'!AY$1,$Y142,"")))</f>
        <v/>
      </c>
      <c r="BO264" s="1286" t="str">
        <f>IF($E$30="Enter Duration (wks)","",IF($Y142="Enter Hrs/Wk","",IF($E$30&gt;='FORMULA REFS'!AZ$1,$Y142,"")))</f>
        <v/>
      </c>
    </row>
    <row r="265" spans="2:67" hidden="1" outlineLevel="1" x14ac:dyDescent="0.3">
      <c r="C265" s="1291" t="str">
        <f t="shared" si="83"/>
        <v/>
      </c>
      <c r="D265" s="1319" t="str">
        <f t="shared" si="84"/>
        <v/>
      </c>
      <c r="E265" s="1326"/>
      <c r="F265" s="1327" t="str">
        <f>IF($E$30="Enter Duration (wks)","",IF($Y143="Enter Hrs/Wk","",IF($E$30&gt;='FORMULA REFS'!A$1,$Y143,"")))</f>
        <v/>
      </c>
      <c r="G265" s="1328"/>
      <c r="H265" s="1570"/>
      <c r="I265" s="1329" t="str">
        <f>IF($E$30="Enter Duration (wks)","",IF($Y143="Enter Hrs/Wk","",IF($E$30&gt;='FORMULA REFS'!B$1,$Y143,"")))</f>
        <v/>
      </c>
      <c r="J265" s="1323"/>
      <c r="K265" s="1286" t="str">
        <f>IF($E$30="Enter Duration (wks)","",IF($Y143="Enter Hrs/Wk","",IF($E$30&gt;='FORMULA REFS'!C$1,$Y143,"")))</f>
        <v/>
      </c>
      <c r="L265" s="882" t="str">
        <f>IF($E$30="Enter Duration (wks)","",IF($Y143="Enter Hrs/Wk","",IF($E$30&gt;='FORMULA REFS'!D$1,$Y143,"")))</f>
        <v/>
      </c>
      <c r="M265" s="882" t="str">
        <f>IF($E$30="Enter Duration (wks)","",IF($Y143="Enter Hrs/Wk","",IF($E$30&gt;='FORMULA REFS'!E$1,$Y143,"")))</f>
        <v/>
      </c>
      <c r="N265" s="882" t="str">
        <f>IF($E$30="Enter Duration (wks)","",IF($Y143="Enter Hrs/Wk","",IF($E$30&gt;='FORMULA REFS'!F$1,$Y143,"")))</f>
        <v/>
      </c>
      <c r="O265" s="882" t="str">
        <f>IF($E$30="Enter Duration (wks)","",IF($Y143="Enter Hrs/Wk","",IF($E$30&gt;='FORMULA REFS'!G$1,$Y143,"")))</f>
        <v/>
      </c>
      <c r="P265" s="882" t="str">
        <f>IF($E$30="Enter Duration (wks)","",IF($Y143="Enter Hrs/Wk","",IF($E$30&gt;='FORMULA REFS'!H$1,$Y143,"")))</f>
        <v/>
      </c>
      <c r="Q265" s="882" t="str">
        <f>IF($E$30="Enter Duration (wks)","",IF($Y143="Enter Hrs/Wk","",IF($E$30&gt;='FORMULA REFS'!I$1,$Y143,"")))</f>
        <v/>
      </c>
      <c r="R265" s="882" t="str">
        <f>IF($E$30="Enter Duration (wks)","",IF($Y143="Enter Hrs/Wk","",IF($E$30&gt;='FORMULA REFS'!J$1,$Y143,"")))</f>
        <v/>
      </c>
      <c r="S265" s="882" t="str">
        <f>IF($E$30="Enter Duration (wks)","",IF($Y143="Enter Hrs/Wk","",IF($E$30&gt;='FORMULA REFS'!K$1,$Y143,"")))</f>
        <v/>
      </c>
      <c r="T265" s="1323" t="str">
        <f>IF($E$30="Enter Duration (wks)","",IF($Y143="Enter Hrs/Wk","",IF($E$30&gt;='FORMULA REFS'!L$1,$Y143,"")))</f>
        <v/>
      </c>
      <c r="U265" s="882" t="str">
        <f>IF($E$30="Enter Duration (wks)","",IF($Y143="Enter Hrs/Wk","",IF($E$30&gt;='FORMULA REFS'!M$1,$Y143,"")))</f>
        <v/>
      </c>
      <c r="V265" s="882"/>
      <c r="W265" s="882"/>
      <c r="X265" s="1285"/>
      <c r="Y265" s="1285" t="str">
        <f>IF($E$30="Enter Duration (wks)","",IF($Y143="Enter Hrs/Wk","",IF($E$30&gt;='FORMULA REFS'!N$1,$Y143,"")))</f>
        <v/>
      </c>
      <c r="Z265" s="1343" t="str">
        <f>IF($E$30="Enter Duration (wks)","",IF($Y143="Enter Hrs/Wk","",IF($E$30&gt;='FORMULA REFS'!O$1,$Y143,"")))</f>
        <v/>
      </c>
      <c r="AA265" s="882" t="str">
        <f>IF($E$30="Enter Duration (wks)","",IF($Y143="Enter Hrs/Wk","",IF($E$30&gt;='FORMULA REFS'!P$1,$Y143,"")))</f>
        <v/>
      </c>
      <c r="AB265" s="882" t="str">
        <f>IF($E$30="Enter Duration (wks)","",IF($Y143="Enter Hrs/Wk","",IF($E$30&gt;='FORMULA REFS'!Q$1,$Y143,"")))</f>
        <v/>
      </c>
      <c r="AC265" s="882"/>
      <c r="AD265" s="882"/>
      <c r="AE265" s="882"/>
      <c r="AF265" s="882"/>
      <c r="AG265" s="1286" t="str">
        <f>IF($E$30="Enter Duration (wks)","",IF($Y143="Enter Hrs/Wk","",IF($E$30&gt;='FORMULA REFS'!R$1,$Y143,"")))</f>
        <v/>
      </c>
      <c r="AH265" s="1286" t="str">
        <f>IF($E$30="Enter Duration (wks)","",IF($Y143="Enter Hrs/Wk","",IF($E$30&gt;='FORMULA REFS'!S$1,$Y143,"")))</f>
        <v/>
      </c>
      <c r="AI265" s="1286" t="str">
        <f>IF($E$30="Enter Duration (wks)","",IF($Y143="Enter Hrs/Wk","",IF($E$30&gt;='FORMULA REFS'!T$1,$Y143,"")))</f>
        <v/>
      </c>
      <c r="AJ265" s="1286" t="str">
        <f>IF($E$30="Enter Duration (wks)","",IF($Y143="Enter Hrs/Wk","",IF($E$30&gt;='FORMULA REFS'!U$1,$Y143,"")))</f>
        <v/>
      </c>
      <c r="AK265" s="1286" t="str">
        <f>IF($E$30="Enter Duration (wks)","",IF($Y143="Enter Hrs/Wk","",IF($E$30&gt;='FORMULA REFS'!V$1,$Y143,"")))</f>
        <v/>
      </c>
      <c r="AL265" s="1286" t="str">
        <f>IF($E$30="Enter Duration (wks)","",IF($Y143="Enter Hrs/Wk","",IF($E$30&gt;='FORMULA REFS'!W$1,$Y143,"")))</f>
        <v/>
      </c>
      <c r="AM265" s="1286" t="str">
        <f>IF($E$30="Enter Duration (wks)","",IF($Y143="Enter Hrs/Wk","",IF($E$30&gt;='FORMULA REFS'!X$1,$Y143,"")))</f>
        <v/>
      </c>
      <c r="AN265" s="1286" t="str">
        <f>IF($E$30="Enter Duration (wks)","",IF($Y143="Enter Hrs/Wk","",IF($E$30&gt;='FORMULA REFS'!Y$1,$Y143,"")))</f>
        <v/>
      </c>
      <c r="AO265" s="1286" t="str">
        <f>IF($E$30="Enter Duration (wks)","",IF($Y143="Enter Hrs/Wk","",IF($E$30&gt;='FORMULA REFS'!Z$1,$Y143,"")))</f>
        <v/>
      </c>
      <c r="AP265" s="1286" t="str">
        <f>IF($E$30="Enter Duration (wks)","",IF($Y143="Enter Hrs/Wk","",IF($E$30&gt;='FORMULA REFS'!AA$1,$Y143,"")))</f>
        <v/>
      </c>
      <c r="AQ265" s="1286" t="str">
        <f>IF($E$30="Enter Duration (wks)","",IF($Y143="Enter Hrs/Wk","",IF($E$30&gt;='FORMULA REFS'!AB$1,$Y143,"")))</f>
        <v/>
      </c>
      <c r="AR265" s="1286" t="str">
        <f>IF($E$30="Enter Duration (wks)","",IF($Y143="Enter Hrs/Wk","",IF($E$30&gt;='FORMULA REFS'!AC$1,$Y143,"")))</f>
        <v/>
      </c>
      <c r="AS265" s="1286" t="str">
        <f>IF($E$30="Enter Duration (wks)","",IF($Y143="Enter Hrs/Wk","",IF($E$30&gt;='FORMULA REFS'!AD$1,$Y143,"")))</f>
        <v/>
      </c>
      <c r="AT265" s="1286" t="str">
        <f>IF($E$30="Enter Duration (wks)","",IF($Y143="Enter Hrs/Wk","",IF($E$30&gt;='FORMULA REFS'!AE$1,$Y143,"")))</f>
        <v/>
      </c>
      <c r="AU265" s="1286" t="str">
        <f>IF($E$30="Enter Duration (wks)","",IF($Y143="Enter Hrs/Wk","",IF($E$30&gt;='FORMULA REFS'!AF$1,$Y143,"")))</f>
        <v/>
      </c>
      <c r="AV265" s="1286" t="str">
        <f>IF($E$30="Enter Duration (wks)","",IF($Y143="Enter Hrs/Wk","",IF($E$30&gt;='FORMULA REFS'!AG$1,$Y143,"")))</f>
        <v/>
      </c>
      <c r="AW265" s="1286" t="str">
        <f>IF($E$30="Enter Duration (wks)","",IF($Y143="Enter Hrs/Wk","",IF($E$30&gt;='FORMULA REFS'!AH$1,$Y143,"")))</f>
        <v/>
      </c>
      <c r="AX265" s="1286" t="str">
        <f>IF($E$30="Enter Duration (wks)","",IF($Y143="Enter Hrs/Wk","",IF($E$30&gt;='FORMULA REFS'!AI$1,$Y143,"")))</f>
        <v/>
      </c>
      <c r="AY265" s="1286" t="str">
        <f>IF($E$30="Enter Duration (wks)","",IF($Y143="Enter Hrs/Wk","",IF($E$30&gt;='FORMULA REFS'!AJ$1,$Y143,"")))</f>
        <v/>
      </c>
      <c r="AZ265" s="1286" t="str">
        <f>IF($E$30="Enter Duration (wks)","",IF($Y143="Enter Hrs/Wk","",IF($E$30&gt;='FORMULA REFS'!AK$1,$Y143,"")))</f>
        <v/>
      </c>
      <c r="BA265" s="1286" t="str">
        <f>IF($E$30="Enter Duration (wks)","",IF($Y143="Enter Hrs/Wk","",IF($E$30&gt;='FORMULA REFS'!AL$1,$Y143,"")))</f>
        <v/>
      </c>
      <c r="BB265" s="1286" t="str">
        <f>IF($E$30="Enter Duration (wks)","",IF($Y143="Enter Hrs/Wk","",IF($E$30&gt;='FORMULA REFS'!AM$1,$Y143,"")))</f>
        <v/>
      </c>
      <c r="BC265" s="1286" t="str">
        <f>IF($E$30="Enter Duration (wks)","",IF($Y143="Enter Hrs/Wk","",IF($E$30&gt;='FORMULA REFS'!AN$1,$Y143,"")))</f>
        <v/>
      </c>
      <c r="BD265" s="1286" t="str">
        <f>IF($E$30="Enter Duration (wks)","",IF($Y143="Enter Hrs/Wk","",IF($E$30&gt;='FORMULA REFS'!AO$1,$Y143,"")))</f>
        <v/>
      </c>
      <c r="BE265" s="1286" t="str">
        <f>IF($E$30="Enter Duration (wks)","",IF($Y143="Enter Hrs/Wk","",IF($E$30&gt;='FORMULA REFS'!AP$1,$Y143,"")))</f>
        <v/>
      </c>
      <c r="BF265" s="1286" t="str">
        <f>IF($E$30="Enter Duration (wks)","",IF($Y143="Enter Hrs/Wk","",IF($E$30&gt;='FORMULA REFS'!AQ$1,$Y143,"")))</f>
        <v/>
      </c>
      <c r="BG265" s="1286" t="str">
        <f>IF($E$30="Enter Duration (wks)","",IF($Y143="Enter Hrs/Wk","",IF($E$30&gt;='FORMULA REFS'!AR$1,$Y143,"")))</f>
        <v/>
      </c>
      <c r="BH265" s="1286" t="str">
        <f>IF($E$30="Enter Duration (wks)","",IF($Y143="Enter Hrs/Wk","",IF($E$30&gt;='FORMULA REFS'!AS$1,$Y143,"")))</f>
        <v/>
      </c>
      <c r="BI265" s="1286" t="str">
        <f>IF($E$30="Enter Duration (wks)","",IF($Y143="Enter Hrs/Wk","",IF($E$30&gt;='FORMULA REFS'!AT$1,$Y143,"")))</f>
        <v/>
      </c>
      <c r="BJ265" s="1286" t="str">
        <f>IF($E$30="Enter Duration (wks)","",IF($Y143="Enter Hrs/Wk","",IF($E$30&gt;='FORMULA REFS'!AU$1,$Y143,"")))</f>
        <v/>
      </c>
      <c r="BK265" s="1286" t="str">
        <f>IF($E$30="Enter Duration (wks)","",IF($Y143="Enter Hrs/Wk","",IF($E$30&gt;='FORMULA REFS'!AV$1,$Y143,"")))</f>
        <v/>
      </c>
      <c r="BL265" s="1286" t="str">
        <f>IF($E$30="Enter Duration (wks)","",IF($Y143="Enter Hrs/Wk","",IF($E$30&gt;='FORMULA REFS'!AW$1,$Y143,"")))</f>
        <v/>
      </c>
      <c r="BM265" s="1286" t="str">
        <f>IF($E$30="Enter Duration (wks)","",IF($Y143="Enter Hrs/Wk","",IF($E$30&gt;='FORMULA REFS'!AX$1,$Y143,"")))</f>
        <v/>
      </c>
      <c r="BN265" s="1286" t="str">
        <f>IF($E$30="Enter Duration (wks)","",IF($Y143="Enter Hrs/Wk","",IF($E$30&gt;='FORMULA REFS'!AY$1,$Y143,"")))</f>
        <v/>
      </c>
      <c r="BO265" s="1286" t="str">
        <f>IF($E$30="Enter Duration (wks)","",IF($Y143="Enter Hrs/Wk","",IF($E$30&gt;='FORMULA REFS'!AZ$1,$Y143,"")))</f>
        <v/>
      </c>
    </row>
    <row r="266" spans="2:67" hidden="1" outlineLevel="1" x14ac:dyDescent="0.3">
      <c r="C266" s="1291" t="str">
        <f t="shared" si="83"/>
        <v/>
      </c>
      <c r="D266" s="1319" t="str">
        <f t="shared" si="84"/>
        <v/>
      </c>
      <c r="E266" s="1326"/>
      <c r="F266" s="1327" t="str">
        <f>IF($E$30="Enter Duration (wks)","",IF($Y144="Enter Hrs/Wk","",IF($E$30&gt;='FORMULA REFS'!A$1,$Y144,"")))</f>
        <v/>
      </c>
      <c r="G266" s="1328"/>
      <c r="H266" s="1570"/>
      <c r="I266" s="1329" t="str">
        <f>IF($E$30="Enter Duration (wks)","",IF($Y144="Enter Hrs/Wk","",IF($E$30&gt;='FORMULA REFS'!B$1,$Y144,"")))</f>
        <v/>
      </c>
      <c r="J266" s="1323"/>
      <c r="K266" s="1286" t="str">
        <f>IF($E$30="Enter Duration (wks)","",IF($Y144="Enter Hrs/Wk","",IF($E$30&gt;='FORMULA REFS'!C$1,$Y144,"")))</f>
        <v/>
      </c>
      <c r="L266" s="882" t="str">
        <f>IF($E$30="Enter Duration (wks)","",IF($Y144="Enter Hrs/Wk","",IF($E$30&gt;='FORMULA REFS'!D$1,$Y144,"")))</f>
        <v/>
      </c>
      <c r="M266" s="882" t="str">
        <f>IF($E$30="Enter Duration (wks)","",IF($Y144="Enter Hrs/Wk","",IF($E$30&gt;='FORMULA REFS'!E$1,$Y144,"")))</f>
        <v/>
      </c>
      <c r="N266" s="882" t="str">
        <f>IF($E$30="Enter Duration (wks)","",IF($Y144="Enter Hrs/Wk","",IF($E$30&gt;='FORMULA REFS'!F$1,$Y144,"")))</f>
        <v/>
      </c>
      <c r="O266" s="882" t="str">
        <f>IF($E$30="Enter Duration (wks)","",IF($Y144="Enter Hrs/Wk","",IF($E$30&gt;='FORMULA REFS'!G$1,$Y144,"")))</f>
        <v/>
      </c>
      <c r="P266" s="882" t="str">
        <f>IF($E$30="Enter Duration (wks)","",IF($Y144="Enter Hrs/Wk","",IF($E$30&gt;='FORMULA REFS'!H$1,$Y144,"")))</f>
        <v/>
      </c>
      <c r="Q266" s="882" t="str">
        <f>IF($E$30="Enter Duration (wks)","",IF($Y144="Enter Hrs/Wk","",IF($E$30&gt;='FORMULA REFS'!I$1,$Y144,"")))</f>
        <v/>
      </c>
      <c r="R266" s="882" t="str">
        <f>IF($E$30="Enter Duration (wks)","",IF($Y144="Enter Hrs/Wk","",IF($E$30&gt;='FORMULA REFS'!J$1,$Y144,"")))</f>
        <v/>
      </c>
      <c r="S266" s="882" t="str">
        <f>IF($E$30="Enter Duration (wks)","",IF($Y144="Enter Hrs/Wk","",IF($E$30&gt;='FORMULA REFS'!K$1,$Y144,"")))</f>
        <v/>
      </c>
      <c r="T266" s="1323" t="str">
        <f>IF($E$30="Enter Duration (wks)","",IF($Y144="Enter Hrs/Wk","",IF($E$30&gt;='FORMULA REFS'!L$1,$Y144,"")))</f>
        <v/>
      </c>
      <c r="U266" s="882" t="str">
        <f>IF($E$30="Enter Duration (wks)","",IF($Y144="Enter Hrs/Wk","",IF($E$30&gt;='FORMULA REFS'!M$1,$Y144,"")))</f>
        <v/>
      </c>
      <c r="V266" s="882"/>
      <c r="W266" s="882"/>
      <c r="X266" s="1285"/>
      <c r="Y266" s="1285" t="str">
        <f>IF($E$30="Enter Duration (wks)","",IF($Y144="Enter Hrs/Wk","",IF($E$30&gt;='FORMULA REFS'!N$1,$Y144,"")))</f>
        <v/>
      </c>
      <c r="Z266" s="1343" t="str">
        <f>IF($E$30="Enter Duration (wks)","",IF($Y144="Enter Hrs/Wk","",IF($E$30&gt;='FORMULA REFS'!O$1,$Y144,"")))</f>
        <v/>
      </c>
      <c r="AA266" s="882" t="str">
        <f>IF($E$30="Enter Duration (wks)","",IF($Y144="Enter Hrs/Wk","",IF($E$30&gt;='FORMULA REFS'!P$1,$Y144,"")))</f>
        <v/>
      </c>
      <c r="AB266" s="882" t="str">
        <f>IF($E$30="Enter Duration (wks)","",IF($Y144="Enter Hrs/Wk","",IF($E$30&gt;='FORMULA REFS'!Q$1,$Y144,"")))</f>
        <v/>
      </c>
      <c r="AC266" s="882"/>
      <c r="AD266" s="882"/>
      <c r="AE266" s="882"/>
      <c r="AF266" s="882"/>
      <c r="AG266" s="1286" t="str">
        <f>IF($E$30="Enter Duration (wks)","",IF($Y144="Enter Hrs/Wk","",IF($E$30&gt;='FORMULA REFS'!R$1,$Y144,"")))</f>
        <v/>
      </c>
      <c r="AH266" s="1286" t="str">
        <f>IF($E$30="Enter Duration (wks)","",IF($Y144="Enter Hrs/Wk","",IF($E$30&gt;='FORMULA REFS'!S$1,$Y144,"")))</f>
        <v/>
      </c>
      <c r="AI266" s="1286" t="str">
        <f>IF($E$30="Enter Duration (wks)","",IF($Y144="Enter Hrs/Wk","",IF($E$30&gt;='FORMULA REFS'!T$1,$Y144,"")))</f>
        <v/>
      </c>
      <c r="AJ266" s="1286" t="str">
        <f>IF($E$30="Enter Duration (wks)","",IF($Y144="Enter Hrs/Wk","",IF($E$30&gt;='FORMULA REFS'!U$1,$Y144,"")))</f>
        <v/>
      </c>
      <c r="AK266" s="1286" t="str">
        <f>IF($E$30="Enter Duration (wks)","",IF($Y144="Enter Hrs/Wk","",IF($E$30&gt;='FORMULA REFS'!V$1,$Y144,"")))</f>
        <v/>
      </c>
      <c r="AL266" s="1286" t="str">
        <f>IF($E$30="Enter Duration (wks)","",IF($Y144="Enter Hrs/Wk","",IF($E$30&gt;='FORMULA REFS'!W$1,$Y144,"")))</f>
        <v/>
      </c>
      <c r="AM266" s="1286" t="str">
        <f>IF($E$30="Enter Duration (wks)","",IF($Y144="Enter Hrs/Wk","",IF($E$30&gt;='FORMULA REFS'!X$1,$Y144,"")))</f>
        <v/>
      </c>
      <c r="AN266" s="1286" t="str">
        <f>IF($E$30="Enter Duration (wks)","",IF($Y144="Enter Hrs/Wk","",IF($E$30&gt;='FORMULA REFS'!Y$1,$Y144,"")))</f>
        <v/>
      </c>
      <c r="AO266" s="1286" t="str">
        <f>IF($E$30="Enter Duration (wks)","",IF($Y144="Enter Hrs/Wk","",IF($E$30&gt;='FORMULA REFS'!Z$1,$Y144,"")))</f>
        <v/>
      </c>
      <c r="AP266" s="1286" t="str">
        <f>IF($E$30="Enter Duration (wks)","",IF($Y144="Enter Hrs/Wk","",IF($E$30&gt;='FORMULA REFS'!AA$1,$Y144,"")))</f>
        <v/>
      </c>
      <c r="AQ266" s="1286" t="str">
        <f>IF($E$30="Enter Duration (wks)","",IF($Y144="Enter Hrs/Wk","",IF($E$30&gt;='FORMULA REFS'!AB$1,$Y144,"")))</f>
        <v/>
      </c>
      <c r="AR266" s="1286" t="str">
        <f>IF($E$30="Enter Duration (wks)","",IF($Y144="Enter Hrs/Wk","",IF($E$30&gt;='FORMULA REFS'!AC$1,$Y144,"")))</f>
        <v/>
      </c>
      <c r="AS266" s="1286" t="str">
        <f>IF($E$30="Enter Duration (wks)","",IF($Y144="Enter Hrs/Wk","",IF($E$30&gt;='FORMULA REFS'!AD$1,$Y144,"")))</f>
        <v/>
      </c>
      <c r="AT266" s="1286" t="str">
        <f>IF($E$30="Enter Duration (wks)","",IF($Y144="Enter Hrs/Wk","",IF($E$30&gt;='FORMULA REFS'!AE$1,$Y144,"")))</f>
        <v/>
      </c>
      <c r="AU266" s="1286" t="str">
        <f>IF($E$30="Enter Duration (wks)","",IF($Y144="Enter Hrs/Wk","",IF($E$30&gt;='FORMULA REFS'!AF$1,$Y144,"")))</f>
        <v/>
      </c>
      <c r="AV266" s="1286" t="str">
        <f>IF($E$30="Enter Duration (wks)","",IF($Y144="Enter Hrs/Wk","",IF($E$30&gt;='FORMULA REFS'!AG$1,$Y144,"")))</f>
        <v/>
      </c>
      <c r="AW266" s="1286" t="str">
        <f>IF($E$30="Enter Duration (wks)","",IF($Y144="Enter Hrs/Wk","",IF($E$30&gt;='FORMULA REFS'!AH$1,$Y144,"")))</f>
        <v/>
      </c>
      <c r="AX266" s="1286" t="str">
        <f>IF($E$30="Enter Duration (wks)","",IF($Y144="Enter Hrs/Wk","",IF($E$30&gt;='FORMULA REFS'!AI$1,$Y144,"")))</f>
        <v/>
      </c>
      <c r="AY266" s="1286" t="str">
        <f>IF($E$30="Enter Duration (wks)","",IF($Y144="Enter Hrs/Wk","",IF($E$30&gt;='FORMULA REFS'!AJ$1,$Y144,"")))</f>
        <v/>
      </c>
      <c r="AZ266" s="1286" t="str">
        <f>IF($E$30="Enter Duration (wks)","",IF($Y144="Enter Hrs/Wk","",IF($E$30&gt;='FORMULA REFS'!AK$1,$Y144,"")))</f>
        <v/>
      </c>
      <c r="BA266" s="1286" t="str">
        <f>IF($E$30="Enter Duration (wks)","",IF($Y144="Enter Hrs/Wk","",IF($E$30&gt;='FORMULA REFS'!AL$1,$Y144,"")))</f>
        <v/>
      </c>
      <c r="BB266" s="1286" t="str">
        <f>IF($E$30="Enter Duration (wks)","",IF($Y144="Enter Hrs/Wk","",IF($E$30&gt;='FORMULA REFS'!AM$1,$Y144,"")))</f>
        <v/>
      </c>
      <c r="BC266" s="1286" t="str">
        <f>IF($E$30="Enter Duration (wks)","",IF($Y144="Enter Hrs/Wk","",IF($E$30&gt;='FORMULA REFS'!AN$1,$Y144,"")))</f>
        <v/>
      </c>
      <c r="BD266" s="1286" t="str">
        <f>IF($E$30="Enter Duration (wks)","",IF($Y144="Enter Hrs/Wk","",IF($E$30&gt;='FORMULA REFS'!AO$1,$Y144,"")))</f>
        <v/>
      </c>
      <c r="BE266" s="1286" t="str">
        <f>IF($E$30="Enter Duration (wks)","",IF($Y144="Enter Hrs/Wk","",IF($E$30&gt;='FORMULA REFS'!AP$1,$Y144,"")))</f>
        <v/>
      </c>
      <c r="BF266" s="1286" t="str">
        <f>IF($E$30="Enter Duration (wks)","",IF($Y144="Enter Hrs/Wk","",IF($E$30&gt;='FORMULA REFS'!AQ$1,$Y144,"")))</f>
        <v/>
      </c>
      <c r="BG266" s="1286" t="str">
        <f>IF($E$30="Enter Duration (wks)","",IF($Y144="Enter Hrs/Wk","",IF($E$30&gt;='FORMULA REFS'!AR$1,$Y144,"")))</f>
        <v/>
      </c>
      <c r="BH266" s="1286" t="str">
        <f>IF($E$30="Enter Duration (wks)","",IF($Y144="Enter Hrs/Wk","",IF($E$30&gt;='FORMULA REFS'!AS$1,$Y144,"")))</f>
        <v/>
      </c>
      <c r="BI266" s="1286" t="str">
        <f>IF($E$30="Enter Duration (wks)","",IF($Y144="Enter Hrs/Wk","",IF($E$30&gt;='FORMULA REFS'!AT$1,$Y144,"")))</f>
        <v/>
      </c>
      <c r="BJ266" s="1286" t="str">
        <f>IF($E$30="Enter Duration (wks)","",IF($Y144="Enter Hrs/Wk","",IF($E$30&gt;='FORMULA REFS'!AU$1,$Y144,"")))</f>
        <v/>
      </c>
      <c r="BK266" s="1286" t="str">
        <f>IF($E$30="Enter Duration (wks)","",IF($Y144="Enter Hrs/Wk","",IF($E$30&gt;='FORMULA REFS'!AV$1,$Y144,"")))</f>
        <v/>
      </c>
      <c r="BL266" s="1286" t="str">
        <f>IF($E$30="Enter Duration (wks)","",IF($Y144="Enter Hrs/Wk","",IF($E$30&gt;='FORMULA REFS'!AW$1,$Y144,"")))</f>
        <v/>
      </c>
      <c r="BM266" s="1286" t="str">
        <f>IF($E$30="Enter Duration (wks)","",IF($Y144="Enter Hrs/Wk","",IF($E$30&gt;='FORMULA REFS'!AX$1,$Y144,"")))</f>
        <v/>
      </c>
      <c r="BN266" s="1286" t="str">
        <f>IF($E$30="Enter Duration (wks)","",IF($Y144="Enter Hrs/Wk","",IF($E$30&gt;='FORMULA REFS'!AY$1,$Y144,"")))</f>
        <v/>
      </c>
      <c r="BO266" s="1286" t="str">
        <f>IF($E$30="Enter Duration (wks)","",IF($Y144="Enter Hrs/Wk","",IF($E$30&gt;='FORMULA REFS'!AZ$1,$Y144,"")))</f>
        <v/>
      </c>
    </row>
    <row r="267" spans="2:67" hidden="1" outlineLevel="1" x14ac:dyDescent="0.3">
      <c r="C267" s="1291" t="str">
        <f t="shared" ref="C267:C269" si="85">IF(ISBLANK(C145),"",C145)</f>
        <v/>
      </c>
      <c r="D267" s="1319" t="str">
        <f t="shared" si="84"/>
        <v/>
      </c>
      <c r="E267" s="1326"/>
      <c r="F267" s="1327" t="str">
        <f>IF($E$30="Enter Duration (wks)","",IF($Y145="Enter Hrs/Wk","",IF($E$30&gt;='FORMULA REFS'!A$1,$Y145,"")))</f>
        <v/>
      </c>
      <c r="G267" s="1328"/>
      <c r="H267" s="1570"/>
      <c r="I267" s="1329" t="str">
        <f>IF($E$30="Enter Duration (wks)","",IF($Y145="Enter Hrs/Wk","",IF($E$30&gt;='FORMULA REFS'!B$1,$Y145,"")))</f>
        <v/>
      </c>
      <c r="J267" s="1323"/>
      <c r="K267" s="1286" t="str">
        <f>IF($E$30="Enter Duration (wks)","",IF($Y145="Enter Hrs/Wk","",IF($E$30&gt;='FORMULA REFS'!C$1,$Y145,"")))</f>
        <v/>
      </c>
      <c r="L267" s="882" t="str">
        <f>IF($E$30="Enter Duration (wks)","",IF($Y145="Enter Hrs/Wk","",IF($E$30&gt;='FORMULA REFS'!D$1,$Y145,"")))</f>
        <v/>
      </c>
      <c r="M267" s="882" t="str">
        <f>IF($E$30="Enter Duration (wks)","",IF($Y145="Enter Hrs/Wk","",IF($E$30&gt;='FORMULA REFS'!E$1,$Y145,"")))</f>
        <v/>
      </c>
      <c r="N267" s="882" t="str">
        <f>IF($E$30="Enter Duration (wks)","",IF($Y145="Enter Hrs/Wk","",IF($E$30&gt;='FORMULA REFS'!F$1,$Y145,"")))</f>
        <v/>
      </c>
      <c r="O267" s="882" t="str">
        <f>IF($E$30="Enter Duration (wks)","",IF($Y145="Enter Hrs/Wk","",IF($E$30&gt;='FORMULA REFS'!G$1,$Y145,"")))</f>
        <v/>
      </c>
      <c r="P267" s="882" t="str">
        <f>IF($E$30="Enter Duration (wks)","",IF($Y145="Enter Hrs/Wk","",IF($E$30&gt;='FORMULA REFS'!H$1,$Y145,"")))</f>
        <v/>
      </c>
      <c r="Q267" s="882" t="str">
        <f>IF($E$30="Enter Duration (wks)","",IF($Y145="Enter Hrs/Wk","",IF($E$30&gt;='FORMULA REFS'!I$1,$Y145,"")))</f>
        <v/>
      </c>
      <c r="R267" s="882" t="str">
        <f>IF($E$30="Enter Duration (wks)","",IF($Y145="Enter Hrs/Wk","",IF($E$30&gt;='FORMULA REFS'!J$1,$Y145,"")))</f>
        <v/>
      </c>
      <c r="S267" s="882" t="str">
        <f>IF($E$30="Enter Duration (wks)","",IF($Y145="Enter Hrs/Wk","",IF($E$30&gt;='FORMULA REFS'!K$1,$Y145,"")))</f>
        <v/>
      </c>
      <c r="T267" s="1323" t="str">
        <f>IF($E$30="Enter Duration (wks)","",IF($Y145="Enter Hrs/Wk","",IF($E$30&gt;='FORMULA REFS'!L$1,$Y145,"")))</f>
        <v/>
      </c>
      <c r="U267" s="882" t="str">
        <f>IF($E$30="Enter Duration (wks)","",IF($Y145="Enter Hrs/Wk","",IF($E$30&gt;='FORMULA REFS'!M$1,$Y145,"")))</f>
        <v/>
      </c>
      <c r="V267" s="882"/>
      <c r="W267" s="882"/>
      <c r="X267" s="1285"/>
      <c r="Y267" s="1285" t="str">
        <f>IF($E$30="Enter Duration (wks)","",IF($Y145="Enter Hrs/Wk","",IF($E$30&gt;='FORMULA REFS'!N$1,$Y145,"")))</f>
        <v/>
      </c>
      <c r="Z267" s="1343" t="str">
        <f>IF($E$30="Enter Duration (wks)","",IF($Y145="Enter Hrs/Wk","",IF($E$30&gt;='FORMULA REFS'!O$1,$Y145,"")))</f>
        <v/>
      </c>
      <c r="AA267" s="882" t="str">
        <f>IF($E$30="Enter Duration (wks)","",IF($Y145="Enter Hrs/Wk","",IF($E$30&gt;='FORMULA REFS'!P$1,$Y145,"")))</f>
        <v/>
      </c>
      <c r="AB267" s="882" t="str">
        <f>IF($E$30="Enter Duration (wks)","",IF($Y145="Enter Hrs/Wk","",IF($E$30&gt;='FORMULA REFS'!Q$1,$Y145,"")))</f>
        <v/>
      </c>
      <c r="AC267" s="882"/>
      <c r="AD267" s="882"/>
      <c r="AE267" s="882"/>
      <c r="AF267" s="882"/>
      <c r="AG267" s="1286" t="str">
        <f>IF($E$30="Enter Duration (wks)","",IF($Y145="Enter Hrs/Wk","",IF($E$30&gt;='FORMULA REFS'!R$1,$Y145,"")))</f>
        <v/>
      </c>
      <c r="AH267" s="1286" t="str">
        <f>IF($E$30="Enter Duration (wks)","",IF($Y145="Enter Hrs/Wk","",IF($E$30&gt;='FORMULA REFS'!S$1,$Y145,"")))</f>
        <v/>
      </c>
      <c r="AI267" s="1286" t="str">
        <f>IF($E$30="Enter Duration (wks)","",IF($Y145="Enter Hrs/Wk","",IF($E$30&gt;='FORMULA REFS'!T$1,$Y145,"")))</f>
        <v/>
      </c>
      <c r="AJ267" s="1286" t="str">
        <f>IF($E$30="Enter Duration (wks)","",IF($Y145="Enter Hrs/Wk","",IF($E$30&gt;='FORMULA REFS'!U$1,$Y145,"")))</f>
        <v/>
      </c>
      <c r="AK267" s="1286" t="str">
        <f>IF($E$30="Enter Duration (wks)","",IF($Y145="Enter Hrs/Wk","",IF($E$30&gt;='FORMULA REFS'!V$1,$Y145,"")))</f>
        <v/>
      </c>
      <c r="AL267" s="1286" t="str">
        <f>IF($E$30="Enter Duration (wks)","",IF($Y145="Enter Hrs/Wk","",IF($E$30&gt;='FORMULA REFS'!W$1,$Y145,"")))</f>
        <v/>
      </c>
      <c r="AM267" s="1286" t="str">
        <f>IF($E$30="Enter Duration (wks)","",IF($Y145="Enter Hrs/Wk","",IF($E$30&gt;='FORMULA REFS'!X$1,$Y145,"")))</f>
        <v/>
      </c>
      <c r="AN267" s="1286" t="str">
        <f>IF($E$30="Enter Duration (wks)","",IF($Y145="Enter Hrs/Wk","",IF($E$30&gt;='FORMULA REFS'!Y$1,$Y145,"")))</f>
        <v/>
      </c>
      <c r="AO267" s="1286" t="str">
        <f>IF($E$30="Enter Duration (wks)","",IF($Y145="Enter Hrs/Wk","",IF($E$30&gt;='FORMULA REFS'!Z$1,$Y145,"")))</f>
        <v/>
      </c>
      <c r="AP267" s="1286" t="str">
        <f>IF($E$30="Enter Duration (wks)","",IF($Y145="Enter Hrs/Wk","",IF($E$30&gt;='FORMULA REFS'!AA$1,$Y145,"")))</f>
        <v/>
      </c>
      <c r="AQ267" s="1286" t="str">
        <f>IF($E$30="Enter Duration (wks)","",IF($Y145="Enter Hrs/Wk","",IF($E$30&gt;='FORMULA REFS'!AB$1,$Y145,"")))</f>
        <v/>
      </c>
      <c r="AR267" s="1286" t="str">
        <f>IF($E$30="Enter Duration (wks)","",IF($Y145="Enter Hrs/Wk","",IF($E$30&gt;='FORMULA REFS'!AC$1,$Y145,"")))</f>
        <v/>
      </c>
      <c r="AS267" s="1286" t="str">
        <f>IF($E$30="Enter Duration (wks)","",IF($Y145="Enter Hrs/Wk","",IF($E$30&gt;='FORMULA REFS'!AD$1,$Y145,"")))</f>
        <v/>
      </c>
      <c r="AT267" s="1286" t="str">
        <f>IF($E$30="Enter Duration (wks)","",IF($Y145="Enter Hrs/Wk","",IF($E$30&gt;='FORMULA REFS'!AE$1,$Y145,"")))</f>
        <v/>
      </c>
      <c r="AU267" s="1286" t="str">
        <f>IF($E$30="Enter Duration (wks)","",IF($Y145="Enter Hrs/Wk","",IF($E$30&gt;='FORMULA REFS'!AF$1,$Y145,"")))</f>
        <v/>
      </c>
      <c r="AV267" s="1286" t="str">
        <f>IF($E$30="Enter Duration (wks)","",IF($Y145="Enter Hrs/Wk","",IF($E$30&gt;='FORMULA REFS'!AG$1,$Y145,"")))</f>
        <v/>
      </c>
      <c r="AW267" s="1286" t="str">
        <f>IF($E$30="Enter Duration (wks)","",IF($Y145="Enter Hrs/Wk","",IF($E$30&gt;='FORMULA REFS'!AH$1,$Y145,"")))</f>
        <v/>
      </c>
      <c r="AX267" s="1286" t="str">
        <f>IF($E$30="Enter Duration (wks)","",IF($Y145="Enter Hrs/Wk","",IF($E$30&gt;='FORMULA REFS'!AI$1,$Y145,"")))</f>
        <v/>
      </c>
      <c r="AY267" s="1286" t="str">
        <f>IF($E$30="Enter Duration (wks)","",IF($Y145="Enter Hrs/Wk","",IF($E$30&gt;='FORMULA REFS'!AJ$1,$Y145,"")))</f>
        <v/>
      </c>
      <c r="AZ267" s="1286" t="str">
        <f>IF($E$30="Enter Duration (wks)","",IF($Y145="Enter Hrs/Wk","",IF($E$30&gt;='FORMULA REFS'!AK$1,$Y145,"")))</f>
        <v/>
      </c>
      <c r="BA267" s="1286" t="str">
        <f>IF($E$30="Enter Duration (wks)","",IF($Y145="Enter Hrs/Wk","",IF($E$30&gt;='FORMULA REFS'!AL$1,$Y145,"")))</f>
        <v/>
      </c>
      <c r="BB267" s="1286" t="str">
        <f>IF($E$30="Enter Duration (wks)","",IF($Y145="Enter Hrs/Wk","",IF($E$30&gt;='FORMULA REFS'!AM$1,$Y145,"")))</f>
        <v/>
      </c>
      <c r="BC267" s="1286" t="str">
        <f>IF($E$30="Enter Duration (wks)","",IF($Y145="Enter Hrs/Wk","",IF($E$30&gt;='FORMULA REFS'!AN$1,$Y145,"")))</f>
        <v/>
      </c>
      <c r="BD267" s="1286" t="str">
        <f>IF($E$30="Enter Duration (wks)","",IF($Y145="Enter Hrs/Wk","",IF($E$30&gt;='FORMULA REFS'!AO$1,$Y145,"")))</f>
        <v/>
      </c>
      <c r="BE267" s="1286" t="str">
        <f>IF($E$30="Enter Duration (wks)","",IF($Y145="Enter Hrs/Wk","",IF($E$30&gt;='FORMULA REFS'!AP$1,$Y145,"")))</f>
        <v/>
      </c>
      <c r="BF267" s="1286" t="str">
        <f>IF($E$30="Enter Duration (wks)","",IF($Y145="Enter Hrs/Wk","",IF($E$30&gt;='FORMULA REFS'!AQ$1,$Y145,"")))</f>
        <v/>
      </c>
      <c r="BG267" s="1286" t="str">
        <f>IF($E$30="Enter Duration (wks)","",IF($Y145="Enter Hrs/Wk","",IF($E$30&gt;='FORMULA REFS'!AR$1,$Y145,"")))</f>
        <v/>
      </c>
      <c r="BH267" s="1286" t="str">
        <f>IF($E$30="Enter Duration (wks)","",IF($Y145="Enter Hrs/Wk","",IF($E$30&gt;='FORMULA REFS'!AS$1,$Y145,"")))</f>
        <v/>
      </c>
      <c r="BI267" s="1286" t="str">
        <f>IF($E$30="Enter Duration (wks)","",IF($Y145="Enter Hrs/Wk","",IF($E$30&gt;='FORMULA REFS'!AT$1,$Y145,"")))</f>
        <v/>
      </c>
      <c r="BJ267" s="1286" t="str">
        <f>IF($E$30="Enter Duration (wks)","",IF($Y145="Enter Hrs/Wk","",IF($E$30&gt;='FORMULA REFS'!AU$1,$Y145,"")))</f>
        <v/>
      </c>
      <c r="BK267" s="1286" t="str">
        <f>IF($E$30="Enter Duration (wks)","",IF($Y145="Enter Hrs/Wk","",IF($E$30&gt;='FORMULA REFS'!AV$1,$Y145,"")))</f>
        <v/>
      </c>
      <c r="BL267" s="1286" t="str">
        <f>IF($E$30="Enter Duration (wks)","",IF($Y145="Enter Hrs/Wk","",IF($E$30&gt;='FORMULA REFS'!AW$1,$Y145,"")))</f>
        <v/>
      </c>
      <c r="BM267" s="1286" t="str">
        <f>IF($E$30="Enter Duration (wks)","",IF($Y145="Enter Hrs/Wk","",IF($E$30&gt;='FORMULA REFS'!AX$1,$Y145,"")))</f>
        <v/>
      </c>
      <c r="BN267" s="1286" t="str">
        <f>IF($E$30="Enter Duration (wks)","",IF($Y145="Enter Hrs/Wk","",IF($E$30&gt;='FORMULA REFS'!AY$1,$Y145,"")))</f>
        <v/>
      </c>
      <c r="BO267" s="1286" t="str">
        <f>IF($E$30="Enter Duration (wks)","",IF($Y145="Enter Hrs/Wk","",IF($E$30&gt;='FORMULA REFS'!AZ$1,$Y145,"")))</f>
        <v/>
      </c>
    </row>
    <row r="268" spans="2:67" hidden="1" outlineLevel="1" x14ac:dyDescent="0.3">
      <c r="C268" s="1291" t="str">
        <f t="shared" si="85"/>
        <v/>
      </c>
      <c r="D268" s="1319" t="str">
        <f t="shared" si="84"/>
        <v/>
      </c>
      <c r="E268" s="1326"/>
      <c r="F268" s="1327" t="str">
        <f>IF($E$30="Enter Duration (wks)","",IF($Y146="Enter Hrs/Wk","",IF($E$30&gt;='FORMULA REFS'!A$1,$Y146,"")))</f>
        <v/>
      </c>
      <c r="G268" s="1328"/>
      <c r="H268" s="1570"/>
      <c r="I268" s="1329" t="str">
        <f>IF($E$30="Enter Duration (wks)","",IF($Y146="Enter Hrs/Wk","",IF($E$30&gt;='FORMULA REFS'!B$1,$Y146,"")))</f>
        <v/>
      </c>
      <c r="J268" s="1323"/>
      <c r="K268" s="1286" t="str">
        <f>IF($E$30="Enter Duration (wks)","",IF($Y146="Enter Hrs/Wk","",IF($E$30&gt;='FORMULA REFS'!C$1,$Y146,"")))</f>
        <v/>
      </c>
      <c r="L268" s="882" t="str">
        <f>IF($E$30="Enter Duration (wks)","",IF($Y146="Enter Hrs/Wk","",IF($E$30&gt;='FORMULA REFS'!D$1,$Y146,"")))</f>
        <v/>
      </c>
      <c r="M268" s="882" t="str">
        <f>IF($E$30="Enter Duration (wks)","",IF($Y146="Enter Hrs/Wk","",IF($E$30&gt;='FORMULA REFS'!E$1,$Y146,"")))</f>
        <v/>
      </c>
      <c r="N268" s="882" t="str">
        <f>IF($E$30="Enter Duration (wks)","",IF($Y146="Enter Hrs/Wk","",IF($E$30&gt;='FORMULA REFS'!F$1,$Y146,"")))</f>
        <v/>
      </c>
      <c r="O268" s="882" t="str">
        <f>IF($E$30="Enter Duration (wks)","",IF($Y146="Enter Hrs/Wk","",IF($E$30&gt;='FORMULA REFS'!G$1,$Y146,"")))</f>
        <v/>
      </c>
      <c r="P268" s="882" t="str">
        <f>IF($E$30="Enter Duration (wks)","",IF($Y146="Enter Hrs/Wk","",IF($E$30&gt;='FORMULA REFS'!H$1,$Y146,"")))</f>
        <v/>
      </c>
      <c r="Q268" s="882" t="str">
        <f>IF($E$30="Enter Duration (wks)","",IF($Y146="Enter Hrs/Wk","",IF($E$30&gt;='FORMULA REFS'!I$1,$Y146,"")))</f>
        <v/>
      </c>
      <c r="R268" s="882" t="str">
        <f>IF($E$30="Enter Duration (wks)","",IF($Y146="Enter Hrs/Wk","",IF($E$30&gt;='FORMULA REFS'!J$1,$Y146,"")))</f>
        <v/>
      </c>
      <c r="S268" s="882" t="str">
        <f>IF($E$30="Enter Duration (wks)","",IF($Y146="Enter Hrs/Wk","",IF($E$30&gt;='FORMULA REFS'!K$1,$Y146,"")))</f>
        <v/>
      </c>
      <c r="T268" s="1323" t="str">
        <f>IF($E$30="Enter Duration (wks)","",IF($Y146="Enter Hrs/Wk","",IF($E$30&gt;='FORMULA REFS'!L$1,$Y146,"")))</f>
        <v/>
      </c>
      <c r="U268" s="1342" t="str">
        <f>IF($E$30="Enter Duration (wks)","",IF($Y146="Enter Hrs/Wk","",IF($E$30&gt;='FORMULA REFS'!M$1,$Y146,"")))</f>
        <v/>
      </c>
      <c r="V268" s="1342"/>
      <c r="W268" s="1342"/>
      <c r="X268" s="1595"/>
      <c r="Y268" s="1285" t="str">
        <f>IF($E$30="Enter Duration (wks)","",IF($Y146="Enter Hrs/Wk","",IF($E$30&gt;='FORMULA REFS'!N$1,$Y146,"")))</f>
        <v/>
      </c>
      <c r="Z268" s="1343" t="str">
        <f>IF($E$30="Enter Duration (wks)","",IF($Y146="Enter Hrs/Wk","",IF($E$30&gt;='FORMULA REFS'!O$1,$Y146,"")))</f>
        <v/>
      </c>
      <c r="AA268" s="882" t="str">
        <f>IF($E$30="Enter Duration (wks)","",IF($Y146="Enter Hrs/Wk","",IF($E$30&gt;='FORMULA REFS'!P$1,$Y146,"")))</f>
        <v/>
      </c>
      <c r="AB268" s="882" t="str">
        <f>IF($E$30="Enter Duration (wks)","",IF($Y146="Enter Hrs/Wk","",IF($E$30&gt;='FORMULA REFS'!Q$1,$Y146,"")))</f>
        <v/>
      </c>
      <c r="AC268" s="882"/>
      <c r="AD268" s="882"/>
      <c r="AE268" s="882"/>
      <c r="AF268" s="882"/>
      <c r="AG268" s="1286" t="str">
        <f>IF($E$30="Enter Duration (wks)","",IF($Y146="Enter Hrs/Wk","",IF($E$30&gt;='FORMULA REFS'!R$1,$Y146,"")))</f>
        <v/>
      </c>
      <c r="AH268" s="1286" t="str">
        <f>IF($E$30="Enter Duration (wks)","",IF($Y146="Enter Hrs/Wk","",IF($E$30&gt;='FORMULA REFS'!S$1,$Y146,"")))</f>
        <v/>
      </c>
      <c r="AI268" s="1286" t="str">
        <f>IF($E$30="Enter Duration (wks)","",IF($Y146="Enter Hrs/Wk","",IF($E$30&gt;='FORMULA REFS'!T$1,$Y146,"")))</f>
        <v/>
      </c>
      <c r="AJ268" s="1286" t="str">
        <f>IF($E$30="Enter Duration (wks)","",IF($Y146="Enter Hrs/Wk","",IF($E$30&gt;='FORMULA REFS'!U$1,$Y146,"")))</f>
        <v/>
      </c>
      <c r="AK268" s="1286" t="str">
        <f>IF($E$30="Enter Duration (wks)","",IF($Y146="Enter Hrs/Wk","",IF($E$30&gt;='FORMULA REFS'!V$1,$Y146,"")))</f>
        <v/>
      </c>
      <c r="AL268" s="1286" t="str">
        <f>IF($E$30="Enter Duration (wks)","",IF($Y146="Enter Hrs/Wk","",IF($E$30&gt;='FORMULA REFS'!W$1,$Y146,"")))</f>
        <v/>
      </c>
      <c r="AM268" s="1286" t="str">
        <f>IF($E$30="Enter Duration (wks)","",IF($Y146="Enter Hrs/Wk","",IF($E$30&gt;='FORMULA REFS'!X$1,$Y146,"")))</f>
        <v/>
      </c>
      <c r="AN268" s="1286" t="str">
        <f>IF($E$30="Enter Duration (wks)","",IF($Y146="Enter Hrs/Wk","",IF($E$30&gt;='FORMULA REFS'!Y$1,$Y146,"")))</f>
        <v/>
      </c>
      <c r="AO268" s="1286" t="str">
        <f>IF($E$30="Enter Duration (wks)","",IF($Y146="Enter Hrs/Wk","",IF($E$30&gt;='FORMULA REFS'!Z$1,$Y146,"")))</f>
        <v/>
      </c>
      <c r="AP268" s="1286" t="str">
        <f>IF($E$30="Enter Duration (wks)","",IF($Y146="Enter Hrs/Wk","",IF($E$30&gt;='FORMULA REFS'!AA$1,$Y146,"")))</f>
        <v/>
      </c>
      <c r="AQ268" s="1286" t="str">
        <f>IF($E$30="Enter Duration (wks)","",IF($Y146="Enter Hrs/Wk","",IF($E$30&gt;='FORMULA REFS'!AB$1,$Y146,"")))</f>
        <v/>
      </c>
      <c r="AR268" s="1286" t="str">
        <f>IF($E$30="Enter Duration (wks)","",IF($Y146="Enter Hrs/Wk","",IF($E$30&gt;='FORMULA REFS'!AC$1,$Y146,"")))</f>
        <v/>
      </c>
      <c r="AS268" s="1286" t="str">
        <f>IF($E$30="Enter Duration (wks)","",IF($Y146="Enter Hrs/Wk","",IF($E$30&gt;='FORMULA REFS'!AD$1,$Y146,"")))</f>
        <v/>
      </c>
      <c r="AT268" s="1286" t="str">
        <f>IF($E$30="Enter Duration (wks)","",IF($Y146="Enter Hrs/Wk","",IF($E$30&gt;='FORMULA REFS'!AE$1,$Y146,"")))</f>
        <v/>
      </c>
      <c r="AU268" s="1286" t="str">
        <f>IF($E$30="Enter Duration (wks)","",IF($Y146="Enter Hrs/Wk","",IF($E$30&gt;='FORMULA REFS'!AF$1,$Y146,"")))</f>
        <v/>
      </c>
      <c r="AV268" s="1286" t="str">
        <f>IF($E$30="Enter Duration (wks)","",IF($Y146="Enter Hrs/Wk","",IF($E$30&gt;='FORMULA REFS'!AG$1,$Y146,"")))</f>
        <v/>
      </c>
      <c r="AW268" s="1286" t="str">
        <f>IF($E$30="Enter Duration (wks)","",IF($Y146="Enter Hrs/Wk","",IF($E$30&gt;='FORMULA REFS'!AH$1,$Y146,"")))</f>
        <v/>
      </c>
      <c r="AX268" s="1286" t="str">
        <f>IF($E$30="Enter Duration (wks)","",IF($Y146="Enter Hrs/Wk","",IF($E$30&gt;='FORMULA REFS'!AI$1,$Y146,"")))</f>
        <v/>
      </c>
      <c r="AY268" s="1286" t="str">
        <f>IF($E$30="Enter Duration (wks)","",IF($Y146="Enter Hrs/Wk","",IF($E$30&gt;='FORMULA REFS'!AJ$1,$Y146,"")))</f>
        <v/>
      </c>
      <c r="AZ268" s="1286" t="str">
        <f>IF($E$30="Enter Duration (wks)","",IF($Y146="Enter Hrs/Wk","",IF($E$30&gt;='FORMULA REFS'!AK$1,$Y146,"")))</f>
        <v/>
      </c>
      <c r="BA268" s="1286" t="str">
        <f>IF($E$30="Enter Duration (wks)","",IF($Y146="Enter Hrs/Wk","",IF($E$30&gt;='FORMULA REFS'!AL$1,$Y146,"")))</f>
        <v/>
      </c>
      <c r="BB268" s="1286" t="str">
        <f>IF($E$30="Enter Duration (wks)","",IF($Y146="Enter Hrs/Wk","",IF($E$30&gt;='FORMULA REFS'!AM$1,$Y146,"")))</f>
        <v/>
      </c>
      <c r="BC268" s="1286" t="str">
        <f>IF($E$30="Enter Duration (wks)","",IF($Y146="Enter Hrs/Wk","",IF($E$30&gt;='FORMULA REFS'!AN$1,$Y146,"")))</f>
        <v/>
      </c>
      <c r="BD268" s="1286" t="str">
        <f>IF($E$30="Enter Duration (wks)","",IF($Y146="Enter Hrs/Wk","",IF($E$30&gt;='FORMULA REFS'!AO$1,$Y146,"")))</f>
        <v/>
      </c>
      <c r="BE268" s="1286" t="str">
        <f>IF($E$30="Enter Duration (wks)","",IF($Y146="Enter Hrs/Wk","",IF($E$30&gt;='FORMULA REFS'!AP$1,$Y146,"")))</f>
        <v/>
      </c>
      <c r="BF268" s="1286" t="str">
        <f>IF($E$30="Enter Duration (wks)","",IF($Y146="Enter Hrs/Wk","",IF($E$30&gt;='FORMULA REFS'!AQ$1,$Y146,"")))</f>
        <v/>
      </c>
      <c r="BG268" s="1286" t="str">
        <f>IF($E$30="Enter Duration (wks)","",IF($Y146="Enter Hrs/Wk","",IF($E$30&gt;='FORMULA REFS'!AR$1,$Y146,"")))</f>
        <v/>
      </c>
      <c r="BH268" s="1286" t="str">
        <f>IF($E$30="Enter Duration (wks)","",IF($Y146="Enter Hrs/Wk","",IF($E$30&gt;='FORMULA REFS'!AS$1,$Y146,"")))</f>
        <v/>
      </c>
      <c r="BI268" s="1286" t="str">
        <f>IF($E$30="Enter Duration (wks)","",IF($Y146="Enter Hrs/Wk","",IF($E$30&gt;='FORMULA REFS'!AT$1,$Y146,"")))</f>
        <v/>
      </c>
      <c r="BJ268" s="1286" t="str">
        <f>IF($E$30="Enter Duration (wks)","",IF($Y146="Enter Hrs/Wk","",IF($E$30&gt;='FORMULA REFS'!AU$1,$Y146,"")))</f>
        <v/>
      </c>
      <c r="BK268" s="1286" t="str">
        <f>IF($E$30="Enter Duration (wks)","",IF($Y146="Enter Hrs/Wk","",IF($E$30&gt;='FORMULA REFS'!AV$1,$Y146,"")))</f>
        <v/>
      </c>
      <c r="BL268" s="1286" t="str">
        <f>IF($E$30="Enter Duration (wks)","",IF($Y146="Enter Hrs/Wk","",IF($E$30&gt;='FORMULA REFS'!AW$1,$Y146,"")))</f>
        <v/>
      </c>
      <c r="BM268" s="1286" t="str">
        <f>IF($E$30="Enter Duration (wks)","",IF($Y146="Enter Hrs/Wk","",IF($E$30&gt;='FORMULA REFS'!AX$1,$Y146,"")))</f>
        <v/>
      </c>
      <c r="BN268" s="1286" t="str">
        <f>IF($E$30="Enter Duration (wks)","",IF($Y146="Enter Hrs/Wk","",IF($E$30&gt;='FORMULA REFS'!AY$1,$Y146,"")))</f>
        <v/>
      </c>
      <c r="BO268" s="1286" t="str">
        <f>IF($E$30="Enter Duration (wks)","",IF($Y146="Enter Hrs/Wk","",IF($E$30&gt;='FORMULA REFS'!AZ$1,$Y146,"")))</f>
        <v/>
      </c>
    </row>
    <row r="269" spans="2:67" hidden="1" outlineLevel="1" x14ac:dyDescent="0.3">
      <c r="C269" s="1292" t="str">
        <f t="shared" si="85"/>
        <v/>
      </c>
      <c r="D269" s="1320" t="str">
        <f t="shared" si="84"/>
        <v/>
      </c>
      <c r="E269" s="1330"/>
      <c r="F269" s="1461" t="str">
        <f>IF($E$30="Enter Duration (wks)","",IF($Y147="Enter Hrs/Wk","",IF($E$30&gt;='FORMULA REFS'!A$1,$Y147,"")))</f>
        <v/>
      </c>
      <c r="G269" s="1461"/>
      <c r="H269" s="1572"/>
      <c r="I269" s="1344" t="str">
        <f>IF($E$30="Enter Duration (wks)","",IF($Y147="Enter Hrs/Wk","",IF($E$30&gt;='FORMULA REFS'!B$1,$Y147,"")))</f>
        <v/>
      </c>
      <c r="J269" s="1334"/>
      <c r="K269" s="1462" t="str">
        <f>IF($E$30="Enter Duration (wks)","",IF($Y147="Enter Hrs/Wk","",IF($E$30&gt;='FORMULA REFS'!C$1,$Y147,"")))</f>
        <v/>
      </c>
      <c r="L269" s="898" t="str">
        <f>IF($E$30="Enter Duration (wks)","",IF($Y147="Enter Hrs/Wk","",IF($E$30&gt;='FORMULA REFS'!D$1,$Y147,"")))</f>
        <v/>
      </c>
      <c r="M269" s="898" t="str">
        <f>IF($E$30="Enter Duration (wks)","",IF($Y147="Enter Hrs/Wk","",IF($E$30&gt;='FORMULA REFS'!E$1,$Y147,"")))</f>
        <v/>
      </c>
      <c r="N269" s="898" t="str">
        <f>IF($E$30="Enter Duration (wks)","",IF($Y147="Enter Hrs/Wk","",IF($E$30&gt;='FORMULA REFS'!F$1,$Y147,"")))</f>
        <v/>
      </c>
      <c r="O269" s="898" t="str">
        <f>IF($E$30="Enter Duration (wks)","",IF($Y147="Enter Hrs/Wk","",IF($E$30&gt;='FORMULA REFS'!G$1,$Y147,"")))</f>
        <v/>
      </c>
      <c r="P269" s="898" t="str">
        <f>IF($E$30="Enter Duration (wks)","",IF($Y147="Enter Hrs/Wk","",IF($E$30&gt;='FORMULA REFS'!H$1,$Y147,"")))</f>
        <v/>
      </c>
      <c r="Q269" s="898" t="str">
        <f>IF($E$30="Enter Duration (wks)","",IF($Y147="Enter Hrs/Wk","",IF($E$30&gt;='FORMULA REFS'!I$1,$Y147,"")))</f>
        <v/>
      </c>
      <c r="R269" s="898" t="str">
        <f>IF($E$30="Enter Duration (wks)","",IF($Y147="Enter Hrs/Wk","",IF($E$30&gt;='FORMULA REFS'!J$1,$Y147,"")))</f>
        <v/>
      </c>
      <c r="S269" s="898" t="str">
        <f>IF($E$30="Enter Duration (wks)","",IF($Y147="Enter Hrs/Wk","",IF($E$30&gt;='FORMULA REFS'!K$1,$Y147,"")))</f>
        <v/>
      </c>
      <c r="T269" s="1334" t="str">
        <f>IF($E$30="Enter Duration (wks)","",IF($Y147="Enter Hrs/Wk","",IF($E$30&gt;='FORMULA REFS'!L$1,$Y147,"")))</f>
        <v/>
      </c>
      <c r="U269" s="898" t="str">
        <f>IF($E$30="Enter Duration (wks)","",IF($Y147="Enter Hrs/Wk","",IF($E$30&gt;='FORMULA REFS'!M$1,$Y147,"")))</f>
        <v/>
      </c>
      <c r="V269" s="898"/>
      <c r="W269" s="898"/>
      <c r="X269" s="1341"/>
      <c r="Y269" s="1341" t="str">
        <f>IF($E$30="Enter Duration (wks)","",IF($Y147="Enter Hrs/Wk","",IF($E$30&gt;='FORMULA REFS'!N$1,$Y147,"")))</f>
        <v/>
      </c>
      <c r="Z269" s="1344" t="str">
        <f>IF($E$30="Enter Duration (wks)","",IF($Y147="Enter Hrs/Wk","",IF($E$30&gt;='FORMULA REFS'!O$1,$Y147,"")))</f>
        <v/>
      </c>
      <c r="AA269" s="898" t="str">
        <f>IF($E$30="Enter Duration (wks)","",IF($Y147="Enter Hrs/Wk","",IF($E$30&gt;='FORMULA REFS'!P$1,$Y147,"")))</f>
        <v/>
      </c>
      <c r="AB269" s="898" t="str">
        <f>IF($E$30="Enter Duration (wks)","",IF($Y147="Enter Hrs/Wk","",IF($E$30&gt;='FORMULA REFS'!Q$1,$Y147,"")))</f>
        <v/>
      </c>
      <c r="AC269" s="898"/>
      <c r="AD269" s="898"/>
      <c r="AE269" s="898"/>
      <c r="AF269" s="898"/>
      <c r="AG269" s="1286" t="str">
        <f>IF($E$30="Enter Duration (wks)","",IF($Y147="Enter Hrs/Wk","",IF($E$30&gt;='FORMULA REFS'!R$1,$Y147,"")))</f>
        <v/>
      </c>
      <c r="AH269" s="1286" t="str">
        <f>IF($E$30="Enter Duration (wks)","",IF($Y147="Enter Hrs/Wk","",IF($E$30&gt;='FORMULA REFS'!S$1,$Y147,"")))</f>
        <v/>
      </c>
      <c r="AI269" s="1286" t="str">
        <f>IF($E$30="Enter Duration (wks)","",IF($Y147="Enter Hrs/Wk","",IF($E$30&gt;='FORMULA REFS'!T$1,$Y147,"")))</f>
        <v/>
      </c>
      <c r="AJ269" s="1286" t="str">
        <f>IF($E$30="Enter Duration (wks)","",IF($Y147="Enter Hrs/Wk","",IF($E$30&gt;='FORMULA REFS'!U$1,$Y147,"")))</f>
        <v/>
      </c>
      <c r="AK269" s="1286" t="str">
        <f>IF($E$30="Enter Duration (wks)","",IF($Y147="Enter Hrs/Wk","",IF($E$30&gt;='FORMULA REFS'!V$1,$Y147,"")))</f>
        <v/>
      </c>
      <c r="AL269" s="1286" t="str">
        <f>IF($E$30="Enter Duration (wks)","",IF($Y147="Enter Hrs/Wk","",IF($E$30&gt;='FORMULA REFS'!W$1,$Y147,"")))</f>
        <v/>
      </c>
      <c r="AM269" s="1286" t="str">
        <f>IF($E$30="Enter Duration (wks)","",IF($Y147="Enter Hrs/Wk","",IF($E$30&gt;='FORMULA REFS'!X$1,$Y147,"")))</f>
        <v/>
      </c>
      <c r="AN269" s="1286" t="str">
        <f>IF($E$30="Enter Duration (wks)","",IF($Y147="Enter Hrs/Wk","",IF($E$30&gt;='FORMULA REFS'!Y$1,$Y147,"")))</f>
        <v/>
      </c>
      <c r="AO269" s="1286" t="str">
        <f>IF($E$30="Enter Duration (wks)","",IF($Y147="Enter Hrs/Wk","",IF($E$30&gt;='FORMULA REFS'!Z$1,$Y147,"")))</f>
        <v/>
      </c>
      <c r="AP269" s="1286" t="str">
        <f>IF($E$30="Enter Duration (wks)","",IF($Y147="Enter Hrs/Wk","",IF($E$30&gt;='FORMULA REFS'!AA$1,$Y147,"")))</f>
        <v/>
      </c>
      <c r="AQ269" s="1286" t="str">
        <f>IF($E$30="Enter Duration (wks)","",IF($Y147="Enter Hrs/Wk","",IF($E$30&gt;='FORMULA REFS'!AB$1,$Y147,"")))</f>
        <v/>
      </c>
      <c r="AR269" s="1286" t="str">
        <f>IF($E$30="Enter Duration (wks)","",IF($Y147="Enter Hrs/Wk","",IF($E$30&gt;='FORMULA REFS'!AC$1,$Y147,"")))</f>
        <v/>
      </c>
      <c r="AS269" s="1286" t="str">
        <f>IF($E$30="Enter Duration (wks)","",IF($Y147="Enter Hrs/Wk","",IF($E$30&gt;='FORMULA REFS'!AD$1,$Y147,"")))</f>
        <v/>
      </c>
      <c r="AT269" s="1286" t="str">
        <f>IF($E$30="Enter Duration (wks)","",IF($Y147="Enter Hrs/Wk","",IF($E$30&gt;='FORMULA REFS'!AE$1,$Y147,"")))</f>
        <v/>
      </c>
      <c r="AU269" s="1286" t="str">
        <f>IF($E$30="Enter Duration (wks)","",IF($Y147="Enter Hrs/Wk","",IF($E$30&gt;='FORMULA REFS'!AF$1,$Y147,"")))</f>
        <v/>
      </c>
      <c r="AV269" s="1286" t="str">
        <f>IF($E$30="Enter Duration (wks)","",IF($Y147="Enter Hrs/Wk","",IF($E$30&gt;='FORMULA REFS'!AG$1,$Y147,"")))</f>
        <v/>
      </c>
      <c r="AW269" s="1286" t="str">
        <f>IF($E$30="Enter Duration (wks)","",IF($Y147="Enter Hrs/Wk","",IF($E$30&gt;='FORMULA REFS'!AH$1,$Y147,"")))</f>
        <v/>
      </c>
      <c r="AX269" s="1286" t="str">
        <f>IF($E$30="Enter Duration (wks)","",IF($Y147="Enter Hrs/Wk","",IF($E$30&gt;='FORMULA REFS'!AI$1,$Y147,"")))</f>
        <v/>
      </c>
      <c r="AY269" s="1286" t="str">
        <f>IF($E$30="Enter Duration (wks)","",IF($Y147="Enter Hrs/Wk","",IF($E$30&gt;='FORMULA REFS'!AJ$1,$Y147,"")))</f>
        <v/>
      </c>
      <c r="AZ269" s="1286" t="str">
        <f>IF($E$30="Enter Duration (wks)","",IF($Y147="Enter Hrs/Wk","",IF($E$30&gt;='FORMULA REFS'!AK$1,$Y147,"")))</f>
        <v/>
      </c>
      <c r="BA269" s="1286" t="str">
        <f>IF($E$30="Enter Duration (wks)","",IF($Y147="Enter Hrs/Wk","",IF($E$30&gt;='FORMULA REFS'!AL$1,$Y147,"")))</f>
        <v/>
      </c>
      <c r="BB269" s="1286" t="str">
        <f>IF($E$30="Enter Duration (wks)","",IF($Y147="Enter Hrs/Wk","",IF($E$30&gt;='FORMULA REFS'!AM$1,$Y147,"")))</f>
        <v/>
      </c>
      <c r="BC269" s="1286" t="str">
        <f>IF($E$30="Enter Duration (wks)","",IF($Y147="Enter Hrs/Wk","",IF($E$30&gt;='FORMULA REFS'!AN$1,$Y147,"")))</f>
        <v/>
      </c>
      <c r="BD269" s="1286" t="str">
        <f>IF($E$30="Enter Duration (wks)","",IF($Y147="Enter Hrs/Wk","",IF($E$30&gt;='FORMULA REFS'!AO$1,$Y147,"")))</f>
        <v/>
      </c>
      <c r="BE269" s="1286" t="str">
        <f>IF($E$30="Enter Duration (wks)","",IF($Y147="Enter Hrs/Wk","",IF($E$30&gt;='FORMULA REFS'!AP$1,$Y147,"")))</f>
        <v/>
      </c>
      <c r="BF269" s="1286" t="str">
        <f>IF($E$30="Enter Duration (wks)","",IF($Y147="Enter Hrs/Wk","",IF($E$30&gt;='FORMULA REFS'!AQ$1,$Y147,"")))</f>
        <v/>
      </c>
      <c r="BG269" s="1286" t="str">
        <f>IF($E$30="Enter Duration (wks)","",IF($Y147="Enter Hrs/Wk","",IF($E$30&gt;='FORMULA REFS'!AR$1,$Y147,"")))</f>
        <v/>
      </c>
      <c r="BH269" s="1286" t="str">
        <f>IF($E$30="Enter Duration (wks)","",IF($Y147="Enter Hrs/Wk","",IF($E$30&gt;='FORMULA REFS'!AS$1,$Y147,"")))</f>
        <v/>
      </c>
      <c r="BI269" s="1286" t="str">
        <f>IF($E$30="Enter Duration (wks)","",IF($Y147="Enter Hrs/Wk","",IF($E$30&gt;='FORMULA REFS'!AT$1,$Y147,"")))</f>
        <v/>
      </c>
      <c r="BJ269" s="1286" t="str">
        <f>IF($E$30="Enter Duration (wks)","",IF($Y147="Enter Hrs/Wk","",IF($E$30&gt;='FORMULA REFS'!AU$1,$Y147,"")))</f>
        <v/>
      </c>
      <c r="BK269" s="1286" t="str">
        <f>IF($E$30="Enter Duration (wks)","",IF($Y147="Enter Hrs/Wk","",IF($E$30&gt;='FORMULA REFS'!AV$1,$Y147,"")))</f>
        <v/>
      </c>
      <c r="BL269" s="1286" t="str">
        <f>IF($E$30="Enter Duration (wks)","",IF($Y147="Enter Hrs/Wk","",IF($E$30&gt;='FORMULA REFS'!AW$1,$Y147,"")))</f>
        <v/>
      </c>
      <c r="BM269" s="1286" t="str">
        <f>IF($E$30="Enter Duration (wks)","",IF($Y147="Enter Hrs/Wk","",IF($E$30&gt;='FORMULA REFS'!AX$1,$Y147,"")))</f>
        <v/>
      </c>
      <c r="BN269" s="1286" t="str">
        <f>IF($E$30="Enter Duration (wks)","",IF($Y147="Enter Hrs/Wk","",IF($E$30&gt;='FORMULA REFS'!AY$1,$Y147,"")))</f>
        <v/>
      </c>
      <c r="BO269" s="1286" t="str">
        <f>IF($E$30="Enter Duration (wks)","",IF($Y147="Enter Hrs/Wk","",IF($E$30&gt;='FORMULA REFS'!AZ$1,$Y147,"")))</f>
        <v/>
      </c>
    </row>
    <row r="270" spans="2:67" collapsed="1" x14ac:dyDescent="0.3">
      <c r="B270" s="395" t="s">
        <v>2235</v>
      </c>
      <c r="C270" s="522" t="s">
        <v>2238</v>
      </c>
      <c r="E270" s="425"/>
      <c r="F270" s="437"/>
      <c r="G270" s="425"/>
      <c r="H270" s="425"/>
      <c r="I270" s="437"/>
      <c r="J270" s="425"/>
      <c r="K270" s="437"/>
      <c r="L270" s="425"/>
      <c r="M270" s="425"/>
      <c r="N270" s="425"/>
      <c r="O270" s="425"/>
      <c r="P270" s="425"/>
      <c r="Q270" s="425"/>
      <c r="R270" s="425"/>
      <c r="S270" s="425"/>
      <c r="T270" s="425"/>
      <c r="U270" s="425"/>
      <c r="V270" s="425"/>
      <c r="W270" s="425"/>
      <c r="X270" s="425"/>
      <c r="Y270" s="425"/>
      <c r="Z270" s="425"/>
      <c r="AA270" s="425"/>
      <c r="AB270" s="425"/>
      <c r="AC270" s="425"/>
      <c r="AH270" s="425"/>
      <c r="AI270" s="425"/>
      <c r="AJ270" s="425"/>
      <c r="AK270" s="425"/>
      <c r="AL270" s="425"/>
      <c r="AM270" s="425"/>
      <c r="AN270" s="425"/>
      <c r="AO270" s="425"/>
      <c r="AP270" s="425"/>
      <c r="AQ270" s="425"/>
      <c r="AR270" s="425"/>
      <c r="AS270" s="425"/>
      <c r="AT270" s="425"/>
      <c r="AU270" s="425"/>
      <c r="AV270" s="425"/>
      <c r="AW270" s="425"/>
      <c r="AX270" s="425"/>
      <c r="AY270" s="425"/>
      <c r="AZ270" s="425"/>
      <c r="BA270" s="425"/>
      <c r="BB270" s="425"/>
      <c r="BC270" s="425"/>
    </row>
    <row r="271" spans="2:67" x14ac:dyDescent="0.3">
      <c r="D271" s="525"/>
      <c r="E271" s="425"/>
      <c r="F271" s="425"/>
      <c r="G271" s="425"/>
      <c r="H271" s="425"/>
      <c r="I271" s="425"/>
      <c r="J271" s="425"/>
      <c r="K271" s="425"/>
      <c r="L271" s="425"/>
      <c r="M271" s="425"/>
      <c r="N271" s="425"/>
      <c r="O271" s="425"/>
      <c r="P271" s="425"/>
      <c r="Q271" s="425"/>
      <c r="R271" s="425"/>
      <c r="S271" s="425"/>
      <c r="T271" s="425"/>
      <c r="U271" s="425"/>
      <c r="V271" s="425"/>
      <c r="W271" s="425"/>
      <c r="X271" s="425"/>
      <c r="Y271" s="425"/>
      <c r="Z271" s="425"/>
      <c r="AA271" s="425"/>
      <c r="AB271" s="425"/>
      <c r="AC271" s="425"/>
      <c r="AH271" s="425"/>
      <c r="AI271" s="425"/>
      <c r="AJ271" s="425"/>
      <c r="AK271" s="425"/>
      <c r="AL271" s="425"/>
      <c r="AM271" s="425"/>
      <c r="AN271" s="425"/>
      <c r="AO271" s="425"/>
      <c r="AP271" s="425"/>
      <c r="AQ271" s="425"/>
      <c r="AR271" s="425"/>
      <c r="AS271" s="425"/>
      <c r="AT271" s="425"/>
      <c r="AU271" s="425"/>
      <c r="AV271" s="425"/>
      <c r="AW271" s="425"/>
      <c r="AX271" s="425"/>
      <c r="AY271" s="425"/>
      <c r="AZ271" s="425"/>
      <c r="BA271" s="425"/>
      <c r="BB271" s="425"/>
      <c r="BC271" s="425"/>
    </row>
    <row r="272" spans="2:67" ht="38" customHeight="1" x14ac:dyDescent="0.3">
      <c r="C272" s="1672" t="s">
        <v>3172</v>
      </c>
      <c r="D272" s="1673"/>
      <c r="E272" s="711" t="str">
        <f>IF(E169=0," ",(SUM($D$169:E169))/$M$289)</f>
        <v xml:space="preserve"> </v>
      </c>
      <c r="F272" s="1569">
        <f>IF(F169=0," ",(SUM($D$169:F169))/$M$289)</f>
        <v>2.9106628242074929E-2</v>
      </c>
      <c r="G272" s="1569" t="str">
        <f>IF(G169=0," ",(SUM($D$169:G169))/$M$289)</f>
        <v xml:space="preserve"> </v>
      </c>
      <c r="H272" s="1569"/>
      <c r="I272" s="1569">
        <f>IF(I169=0," ",(SUM($D$169:I169))/$M$289)</f>
        <v>5.8213256484149857E-2</v>
      </c>
      <c r="J272" s="1569" t="str">
        <f>IF(J169=0," ",(SUM($D$169:J169))/$M$289)</f>
        <v xml:space="preserve"> </v>
      </c>
      <c r="K272" s="1569">
        <f>IF(K169=0," ",(SUM($D$169:K169))/$M$289)</f>
        <v>8.7319884726224789E-2</v>
      </c>
      <c r="L272" s="1569">
        <f>IF(L169=0," ",(SUM($D$169:L169))/$M$289)</f>
        <v>0.11642651296829971</v>
      </c>
      <c r="M272" s="1569">
        <f>IF(M169=0," ",(SUM($D$169:M169))/$M$289)</f>
        <v>0.15129682997118155</v>
      </c>
      <c r="N272" s="1569">
        <f>IF(N169=0," ",(SUM($D$169:N169))/$M$289)</f>
        <v>0.18616714697406339</v>
      </c>
      <c r="O272" s="1569">
        <f>IF(O169=0," ",(SUM($D$169:O169))/$M$289)</f>
        <v>0.22103746397694524</v>
      </c>
      <c r="P272" s="1569">
        <f>IF(P169=0," ",(SUM($D$169:P169))/$M$289)</f>
        <v>0.25590778097982708</v>
      </c>
      <c r="Q272" s="1569">
        <f>IF(Q169=0," ",(SUM($D$169:Q169))/$M$289)</f>
        <v>0.29077809798270893</v>
      </c>
      <c r="R272" s="1569">
        <f>IF(R169=0," ",(SUM($D$169:R169))/$M$289)</f>
        <v>0.32564841498559077</v>
      </c>
      <c r="S272" s="1569">
        <f>IF(S169=0," ",(SUM($D$169:S169))/$M$289)</f>
        <v>0.36051873198847262</v>
      </c>
      <c r="T272" s="1569">
        <f>IF(T169=0," ",(SUM($D$169:T169))/$M$289)</f>
        <v>0.39538904899135446</v>
      </c>
      <c r="U272" s="1569">
        <f>IF(U169=0," ",(SUM($D$169:U169))/$M$289)</f>
        <v>0.43025936599423631</v>
      </c>
      <c r="V272" s="1569" t="str">
        <f>IF(V169=0," ",(SUM($D$169:V169))/$M$289)</f>
        <v xml:space="preserve"> </v>
      </c>
      <c r="W272" s="1569" t="str">
        <f>IF(W169=0," ",(SUM($D$169:W169))/$M$289)</f>
        <v xml:space="preserve"> </v>
      </c>
      <c r="X272" s="1569"/>
      <c r="Y272" s="1569">
        <f>IF(Y169=0," ",(SUM($D$169:Y169))/$M$289)</f>
        <v>0.45936599423631125</v>
      </c>
      <c r="Z272" s="1569">
        <f>IF(Z169=0," ",(SUM($D$169:Z169))/$M$289)</f>
        <v>0.48847262247838619</v>
      </c>
      <c r="AA272" s="711">
        <f>IF(AA169=0," ",(SUM($D$169:AA169))/$M$289)</f>
        <v>0.51757925072046107</v>
      </c>
      <c r="AB272" s="711">
        <f>IF(AB169=0," ",(SUM($D$169:AB169))/$M$289)</f>
        <v>0.54668587896253606</v>
      </c>
      <c r="AC272" s="711" t="str">
        <f>IF(AC169=0," ",(SUM($D$169:AC169))/$M$289)</f>
        <v xml:space="preserve"> </v>
      </c>
      <c r="AD272" s="711" t="str">
        <f>IF(AD169=0," ",(SUM($D$169:AD169))/$M$289)</f>
        <v xml:space="preserve"> </v>
      </c>
      <c r="AE272" s="711" t="str">
        <f>IF(AE169=0," ",(SUM($D$169:AE169))/$M$289)</f>
        <v xml:space="preserve"> </v>
      </c>
      <c r="AF272" s="711" t="str">
        <f>IF(AF169=0," ",(SUM($D$169:AF169))/$M$289)</f>
        <v xml:space="preserve"> </v>
      </c>
      <c r="AG272" s="711">
        <f>IF(AG169=0," ",(SUM($D$169:AG169))/$M$289)</f>
        <v>0.58155619596541785</v>
      </c>
      <c r="AH272" s="711">
        <f>IF(AH169=0," ",(SUM($D$169:AH169))/$M$289)</f>
        <v>0.61642651296829976</v>
      </c>
      <c r="AI272" s="711">
        <f>IF(AI169=0," ",(SUM($D$169:AI169))/$M$289)</f>
        <v>0.65129682997118155</v>
      </c>
      <c r="AJ272" s="711">
        <f>IF(AJ169=0," ",(SUM($D$169:AJ169))/$M$289)</f>
        <v>0.68616714697406345</v>
      </c>
      <c r="AK272" s="711">
        <f>IF(AK169=0," ",(SUM($D$169:AK169))/$M$289)</f>
        <v>0.72103746397694524</v>
      </c>
      <c r="AL272" s="711">
        <f>IF(AL169=0," ",(SUM($D$169:AL169))/$M$289)</f>
        <v>0.75590778097982714</v>
      </c>
      <c r="AM272" s="711">
        <f>IF(AM169=0," ",(SUM($D$169:AM169))/$M$289)</f>
        <v>0.79077809798270893</v>
      </c>
      <c r="AN272" s="711">
        <f>IF(AN169=0," ",(SUM($D$169:AN169))/$M$289)</f>
        <v>0.82564841498559083</v>
      </c>
      <c r="AO272" s="711">
        <f>IF(AO169=0," ",(SUM($D$169:AO169))/$M$289)</f>
        <v>0.86051873198847262</v>
      </c>
      <c r="AP272" s="711">
        <f>IF(AP169=0," ",(SUM($D$169:AP169))/$M$289)</f>
        <v>0.89538904899135452</v>
      </c>
      <c r="AQ272" s="711">
        <f>IF(AQ169=0," ",(SUM($D$169:AQ169))/$M$289)</f>
        <v>0.93025936599423631</v>
      </c>
      <c r="AR272" s="711">
        <f>IF(AR169=0," ",(SUM($D$169:AR169))/$M$289)</f>
        <v>0.96512968299711821</v>
      </c>
      <c r="AS272" s="711">
        <f>IF(AS169=0," ",(SUM($D$169:AS169))/$M$289)</f>
        <v>1</v>
      </c>
      <c r="AT272" s="711" t="str">
        <f>IF(AT169=0," ",(SUM($D$169:AT169))/$M$289)</f>
        <v xml:space="preserve"> </v>
      </c>
      <c r="AU272" s="711" t="str">
        <f>IF(AU169=0," ",(SUM($D$169:AU169))/$M$289)</f>
        <v xml:space="preserve"> </v>
      </c>
      <c r="AV272" s="711" t="str">
        <f>IF(AV169=0," ",(SUM($D$169:AV169))/$M$289)</f>
        <v xml:space="preserve"> </v>
      </c>
      <c r="AW272" s="711" t="str">
        <f>IF(AW169=0," ",(SUM($D$169:AW169))/$M$289)</f>
        <v xml:space="preserve"> </v>
      </c>
      <c r="AX272" s="711" t="str">
        <f>IF(AX169=0," ",(SUM($D$169:AX169))/$M$289)</f>
        <v xml:space="preserve"> </v>
      </c>
      <c r="AY272" s="711" t="str">
        <f>IF(AY169=0," ",(SUM($D$169:AY169))/$M$289)</f>
        <v xml:space="preserve"> </v>
      </c>
      <c r="AZ272" s="711" t="str">
        <f>IF(AZ169=0," ",(SUM($D$169:AZ169))/$M$289)</f>
        <v xml:space="preserve"> </v>
      </c>
      <c r="BA272" s="711" t="str">
        <f>IF(BA169=0," ",(SUM($D$169:BA169))/$M$289)</f>
        <v xml:space="preserve"> </v>
      </c>
      <c r="BB272" s="711" t="str">
        <f>IF(BB169=0," ",(SUM($D$169:BB169))/$M$289)</f>
        <v xml:space="preserve"> </v>
      </c>
      <c r="BC272" s="711" t="str">
        <f>IF(BC169=0," ",(SUM($D$169:BC169))/$M$289)</f>
        <v xml:space="preserve"> </v>
      </c>
      <c r="BD272" s="711" t="str">
        <f>IF(BD169=0," ",(SUM($D$169:BD169))/$M$289)</f>
        <v xml:space="preserve"> </v>
      </c>
      <c r="BE272" s="711" t="str">
        <f>IF(BE169=0," ",(SUM($D$169:BE169))/$M$289)</f>
        <v xml:space="preserve"> </v>
      </c>
      <c r="BF272" s="711" t="str">
        <f>IF(BF169=0," ",(SUM($D$169:BF169))/$M$289)</f>
        <v xml:space="preserve"> </v>
      </c>
      <c r="BG272" s="711" t="str">
        <f>IF(BG169=0," ",(SUM($D$169:BG169))/$M$289)</f>
        <v xml:space="preserve"> </v>
      </c>
      <c r="BH272" s="711" t="str">
        <f>IF(BH169=0," ",(SUM($D$169:BH169))/$M$289)</f>
        <v xml:space="preserve"> </v>
      </c>
      <c r="BI272" s="711" t="str">
        <f>IF(BI169=0," ",(SUM($D$169:BI169))/$M$289)</f>
        <v xml:space="preserve"> </v>
      </c>
      <c r="BJ272" s="711" t="str">
        <f>IF(BJ169=0," ",(SUM($D$169:BJ169))/$M$289)</f>
        <v xml:space="preserve"> </v>
      </c>
      <c r="BK272" s="711" t="str">
        <f>IF(BK169=0," ",(SUM($D$169:BK169))/$M$289)</f>
        <v xml:space="preserve"> </v>
      </c>
      <c r="BL272" s="711" t="str">
        <f>IF(BL169=0," ",(SUM($D$169:BL169))/$M$289)</f>
        <v xml:space="preserve"> </v>
      </c>
      <c r="BM272" s="711" t="str">
        <f>IF(BM169=0," ",(SUM($D$169:BM169))/$M$289)</f>
        <v xml:space="preserve"> </v>
      </c>
      <c r="BN272" s="711" t="str">
        <f>IF(BN169=0," ",(SUM($D$169:BN169))/$M$289)</f>
        <v xml:space="preserve"> </v>
      </c>
    </row>
    <row r="273" spans="1:66" hidden="1" x14ac:dyDescent="0.3">
      <c r="E273" s="398"/>
      <c r="F273" s="398"/>
      <c r="G273" s="398"/>
      <c r="H273" s="398"/>
      <c r="I273" s="398"/>
      <c r="J273" s="398"/>
      <c r="K273" s="398"/>
      <c r="L273" s="398"/>
      <c r="M273" s="398"/>
      <c r="N273" s="398"/>
      <c r="O273" s="398"/>
      <c r="P273" s="398"/>
      <c r="Q273" s="398"/>
      <c r="R273" s="398"/>
      <c r="S273" s="398"/>
      <c r="T273" s="398"/>
      <c r="U273" s="398"/>
      <c r="V273" s="398"/>
      <c r="W273" s="398"/>
      <c r="X273" s="398"/>
      <c r="Y273" s="398"/>
      <c r="Z273" s="398"/>
      <c r="AA273" s="398"/>
      <c r="AB273" s="398"/>
      <c r="AC273" s="398"/>
      <c r="AH273" s="398"/>
      <c r="AI273" s="398"/>
      <c r="AJ273" s="398"/>
      <c r="AK273" s="398"/>
      <c r="AL273" s="398"/>
      <c r="AM273" s="398"/>
      <c r="AN273" s="398"/>
      <c r="AO273" s="398"/>
      <c r="AP273" s="398"/>
      <c r="AQ273" s="398"/>
      <c r="AR273" s="398"/>
      <c r="AS273" s="398"/>
      <c r="AT273" s="398"/>
      <c r="AU273" s="398"/>
      <c r="AV273" s="398"/>
      <c r="AW273" s="398"/>
      <c r="AX273" s="398"/>
      <c r="AY273" s="398"/>
      <c r="AZ273" s="398"/>
      <c r="BA273" s="398"/>
      <c r="BB273" s="398"/>
      <c r="BC273" s="398"/>
      <c r="BD273" s="398"/>
      <c r="BE273" s="398"/>
      <c r="BF273" s="398"/>
      <c r="BG273" s="398"/>
      <c r="BH273" s="398"/>
      <c r="BI273" s="398"/>
      <c r="BJ273" s="398"/>
      <c r="BK273" s="398"/>
      <c r="BL273" s="398"/>
      <c r="BM273" s="398"/>
      <c r="BN273" s="398"/>
    </row>
    <row r="274" spans="1:66" hidden="1" x14ac:dyDescent="0.3">
      <c r="D274" s="720" t="s">
        <v>179</v>
      </c>
      <c r="E274" s="902"/>
      <c r="F274" s="902"/>
      <c r="G274" s="902"/>
      <c r="H274" s="902"/>
      <c r="I274" s="902"/>
      <c r="J274" s="902"/>
      <c r="K274" s="902"/>
      <c r="L274" s="902"/>
      <c r="M274" s="902"/>
      <c r="N274" s="902"/>
      <c r="O274" s="902"/>
      <c r="P274" s="902"/>
      <c r="Q274" s="902"/>
      <c r="R274" s="902"/>
      <c r="S274" s="902"/>
      <c r="T274" s="902"/>
      <c r="U274" s="902"/>
      <c r="V274" s="902"/>
      <c r="W274" s="902"/>
      <c r="X274" s="902"/>
      <c r="Y274" s="902"/>
      <c r="Z274" s="902"/>
      <c r="AA274" s="902"/>
      <c r="AB274" s="902"/>
      <c r="AC274" s="902"/>
      <c r="AH274" s="902"/>
      <c r="AI274" s="902"/>
      <c r="AJ274" s="902"/>
      <c r="AK274" s="902"/>
      <c r="AL274" s="902"/>
      <c r="AM274" s="902"/>
      <c r="AN274" s="902"/>
      <c r="AO274" s="902"/>
      <c r="AP274" s="902"/>
      <c r="AQ274" s="902"/>
      <c r="AR274" s="902"/>
      <c r="AS274" s="902"/>
      <c r="AT274" s="902"/>
      <c r="AU274" s="902"/>
      <c r="AV274" s="902"/>
      <c r="AW274" s="902"/>
      <c r="AX274" s="902"/>
      <c r="AY274" s="902"/>
      <c r="AZ274" s="902"/>
      <c r="BA274" s="902"/>
      <c r="BB274" s="902"/>
      <c r="BC274" s="902"/>
      <c r="BD274" s="902"/>
      <c r="BE274" s="902"/>
      <c r="BF274" s="902"/>
      <c r="BG274" s="902"/>
      <c r="BH274" s="902"/>
      <c r="BI274" s="902"/>
      <c r="BJ274" s="902"/>
      <c r="BK274" s="902"/>
      <c r="BL274" s="902"/>
      <c r="BM274" s="902"/>
      <c r="BN274" s="902"/>
    </row>
    <row r="275" spans="1:66" hidden="1" x14ac:dyDescent="0.3">
      <c r="D275" s="903" t="s">
        <v>180</v>
      </c>
      <c r="E275" s="713" t="str">
        <f>IF($D$30="T&amp;M",IF($D$26="Select Margin Class"," ",IF($D$26="Standard Rates",SUMPRODUCT(E170:E269,$F291:$F390),IF($D$26="Client Custom Rates",SUMPRODUCT(E170:E269,$I291:$I390),IF($D$26="Investment",SUMPRODUCT(E170:E269,#REF!)))))," ")</f>
        <v xml:space="preserve"> </v>
      </c>
      <c r="F275" s="713"/>
      <c r="G275" s="713" t="str">
        <f>IF($D$30="T&amp;M",IF($D$26="Select Margin Class"," ",IF($D$26="Standard Rates",SUMPRODUCT(G170:G269,$F291:$F390),IF($D$26="Client Custom Rates",SUMPRODUCT(G170:G269,$I291:$I390),IF($D$26="Investment",SUMPRODUCT(G170:G269,#REF!)))))," ")</f>
        <v xml:space="preserve"> </v>
      </c>
      <c r="H275" s="713"/>
      <c r="I275" s="713"/>
      <c r="J275" s="713" t="str">
        <f>IF($D$30="T&amp;M",IF($D$26="Select Margin Class"," ",IF($D$26="Standard Rates",SUMPRODUCT(J170:J269,$F291:$F390),IF($D$26="Client Custom Rates",SUMPRODUCT(J170:J269,$I291:$I390),IF($D$26="Investment",SUMPRODUCT(J170:J269,#REF!)))))," ")</f>
        <v xml:space="preserve"> </v>
      </c>
      <c r="K275" s="713" t="str">
        <f>IF($D$30="T&amp;M",IF($D$26="Select Margin Class"," ",IF($D$26="Standard Rates",SUMPRODUCT(L170:L269,$F291:$F390),IF($D$26="Client Custom Rates",SUMPRODUCT(L170:L269,$I291:$I390),IF($D$26="Investment",SUMPRODUCT(L170:L269,#REF!)))))," ")</f>
        <v xml:space="preserve"> </v>
      </c>
      <c r="L275" s="713" t="str">
        <f>IF($D$30="T&amp;M",IF($D$26="Select Margin Class"," ",IF($D$26="Standard Rates",SUMPRODUCT(L170:L269,$F291:$F390),IF($D$26="Client Custom Rates",SUMPRODUCT(L170:L269,$I291:$I390),IF($D$26="Investment",SUMPRODUCT(L170:L269,#REF!)))))," ")</f>
        <v xml:space="preserve"> </v>
      </c>
      <c r="M275" s="713" t="str">
        <f>IF($D$30="T&amp;M",IF($D$26="Select Margin Class"," ",IF($D$26="Standard Rates",SUMPRODUCT(M170:M269,$F291:$F390),IF($D$26="Client Custom Rates",SUMPRODUCT(M170:M269,$I291:$I390),IF($D$26="Investment",SUMPRODUCT(M170:M269,#REF!)))))," ")</f>
        <v xml:space="preserve"> </v>
      </c>
      <c r="N275" s="713" t="str">
        <f>IF($D$30="T&amp;M",IF($D$26="Select Margin Class"," ",IF($D$26="Standard Rates",SUMPRODUCT(N170:N269,$F291:$F390),IF($D$26="Client Custom Rates",SUMPRODUCT(N170:N269,$I291:$I390),IF($D$26="Investment",SUMPRODUCT(N170:N269,#REF!)))))," ")</f>
        <v xml:space="preserve"> </v>
      </c>
      <c r="O275" s="713" t="str">
        <f>IF($D$30="T&amp;M",IF($D$26="Select Margin Class"," ",IF($D$26="Standard Rates",SUMPRODUCT(O170:O269,$F291:$F390),IF($D$26="Client Custom Rates",SUMPRODUCT(O170:O269,$I291:$I390),IF($D$26="Investment",SUMPRODUCT(O170:O269,#REF!)))))," ")</f>
        <v xml:space="preserve"> </v>
      </c>
      <c r="P275" s="713" t="str">
        <f>IF($D$30="T&amp;M",IF($D$26="Select Margin Class"," ",IF($D$26="Standard Rates",SUMPRODUCT(P170:P269,$F291:$F390),IF($D$26="Client Custom Rates",SUMPRODUCT(P170:P269,$I291:$I390),IF($D$26="Investment",SUMPRODUCT(P170:P269,#REF!)))))," ")</f>
        <v xml:space="preserve"> </v>
      </c>
      <c r="Q275" s="713" t="str">
        <f>IF($D$30="T&amp;M",IF($D$26="Select Margin Class"," ",IF($D$26="Standard Rates",SUMPRODUCT(Q170:Q269,$F291:$F390),IF($D$26="Client Custom Rates",SUMPRODUCT(Q170:Q269,$I291:$I390),IF($D$26="Investment",SUMPRODUCT(Q170:Q269,#REF!)))))," ")</f>
        <v xml:space="preserve"> </v>
      </c>
      <c r="R275" s="713" t="str">
        <f>IF($D$30="T&amp;M",IF($D$26="Select Margin Class"," ",IF($D$26="Standard Rates",SUMPRODUCT(R170:R269,$F291:$F390),IF($D$26="Client Custom Rates",SUMPRODUCT(R170:R269,$I291:$I390),IF($D$26="Investment",SUMPRODUCT(R170:R269,#REF!)))))," ")</f>
        <v xml:space="preserve"> </v>
      </c>
      <c r="S275" s="713" t="str">
        <f>IF($D$30="T&amp;M",IF($D$26="Select Margin Class"," ",IF($D$26="Standard Rates",SUMPRODUCT(S170:S269,$F291:$F390),IF($D$26="Client Custom Rates",SUMPRODUCT(S170:S269,$I291:$I390),IF($D$26="Investment",SUMPRODUCT(S170:S269,#REF!)))))," ")</f>
        <v xml:space="preserve"> </v>
      </c>
      <c r="T275" s="713" t="str">
        <f>IF($D$30="T&amp;M",IF($D$26="Select Margin Class"," ",IF($D$26="Standard Rates",SUMPRODUCT(T170:T269,$F291:$F390),IF($D$26="Client Custom Rates",SUMPRODUCT(T170:T269,$I291:$I390),IF($D$26="Investment",SUMPRODUCT(T170:T269,#REF!)))))," ")</f>
        <v xml:space="preserve"> </v>
      </c>
      <c r="U275" s="713" t="str">
        <f>IF($D$30="T&amp;M",IF($D$26="Select Margin Class"," ",IF($D$26="Standard Rates",SUMPRODUCT(U170:U269,$F291:$F390),IF($D$26="Client Custom Rates",SUMPRODUCT(U170:U269,$I291:$I390),IF($D$26="Investment",SUMPRODUCT(U170:U269,#REF!)))))," ")</f>
        <v xml:space="preserve"> </v>
      </c>
      <c r="V275" s="713" t="str">
        <f>IF($D$30="T&amp;M",IF($D$26="Select Margin Class"," ",IF($D$26="Standard Rates",SUMPRODUCT(V170:V269,$F291:$F390),IF($D$26="Client Custom Rates",SUMPRODUCT(V170:V269,$I291:$I390),IF($D$26="Investment",SUMPRODUCT(V170:V269,#REF!)))))," ")</f>
        <v xml:space="preserve"> </v>
      </c>
      <c r="W275" s="713" t="str">
        <f>IF($D$30="T&amp;M",IF($D$26="Select Margin Class"," ",IF($D$26="Standard Rates",SUMPRODUCT(W170:W269,$F291:$F390),IF($D$26="Client Custom Rates",SUMPRODUCT(W170:W269,$I291:$I390),IF($D$26="Investment",SUMPRODUCT(W170:W269,#REF!)))))," ")</f>
        <v xml:space="preserve"> </v>
      </c>
      <c r="X275" s="713"/>
      <c r="Y275" s="713" t="str">
        <f>IF($D$30="T&amp;M",IF($D$26="Select Margin Class"," ",IF($D$26="Standard Rates",SUMPRODUCT(Y170:Y269,$F291:$F390),IF($D$26="Client Custom Rates",SUMPRODUCT(Y170:Y269,$I291:$I390),IF($D$26="Investment",SUMPRODUCT(Y170:Y269,#REF!)))))," ")</f>
        <v xml:space="preserve"> </v>
      </c>
      <c r="Z275" s="713" t="str">
        <f>IF($D$30="T&amp;M",IF($D$26="Select Margin Class"," ",IF($D$26="Standard Rates",SUMPRODUCT(Z170:Z269,$F291:$F390),IF($D$26="Client Custom Rates",SUMPRODUCT(Z170:Z269,$I291:$I390),IF($D$26="Investment",SUMPRODUCT(Z170:Z269,#REF!)))))," ")</f>
        <v xml:space="preserve"> </v>
      </c>
      <c r="AA275" s="713" t="str">
        <f>IF($D$30="T&amp;M",IF($D$26="Select Margin Class"," ",IF($D$26="Standard Rates",SUMPRODUCT(AA170:AA269,$F291:$F390),IF($D$26="Client Custom Rates",SUMPRODUCT(AA170:AA269,$I291:$I390),IF($D$26="Investment",SUMPRODUCT(AA170:AA269,#REF!)))))," ")</f>
        <v xml:space="preserve"> </v>
      </c>
      <c r="AB275" s="713" t="str">
        <f>IF($D$30="T&amp;M",IF($D$26="Select Margin Class"," ",IF($D$26="Standard Rates",SUMPRODUCT(AB170:AB269,$F291:$F390),IF($D$26="Client Custom Rates",SUMPRODUCT(AB170:AB269,$I291:$I390),IF($D$26="Investment",SUMPRODUCT(AB170:AB269,#REF!)))))," ")</f>
        <v xml:space="preserve"> </v>
      </c>
      <c r="AC275" s="713" t="str">
        <f>IF($D$30="T&amp;M",IF($D$26="Select Margin Class"," ",IF($D$26="Standard Rates",SUMPRODUCT(AC170:AC269,$F291:$F390),IF($D$26="Client Custom Rates",SUMPRODUCT(AC170:AC269,$I291:$I390),IF($D$26="Investment",SUMPRODUCT(AC170:AC269,#REF!)))))," ")</f>
        <v xml:space="preserve"> </v>
      </c>
      <c r="AH275" s="713" t="str">
        <f>IF($D$30="T&amp;M",IF($D$26="Select Margin Class"," ",IF($D$26="Standard Rates",SUMPRODUCT(AH170:AH269,$F291:$F390),IF($D$26="Client Custom Rates",SUMPRODUCT(AH170:AH269,$I291:$I390),IF($D$26="Investment",SUMPRODUCT(AH170:AH269,#REF!)))))," ")</f>
        <v xml:space="preserve"> </v>
      </c>
      <c r="AI275" s="713" t="str">
        <f>IF($D$30="T&amp;M",IF($D$26="Select Margin Class"," ",IF($D$26="Standard Rates",SUMPRODUCT(AI170:AI269,$F291:$F390),IF($D$26="Client Custom Rates",SUMPRODUCT(AI170:AI269,$I291:$I390),IF($D$26="Investment",SUMPRODUCT(AI170:AI269,#REF!)))))," ")</f>
        <v xml:space="preserve"> </v>
      </c>
      <c r="AJ275" s="713" t="str">
        <f>IF($D$30="T&amp;M",IF($D$26="Select Margin Class"," ",IF($D$26="Standard Rates",SUMPRODUCT(AJ170:AJ269,$F291:$F390),IF($D$26="Client Custom Rates",SUMPRODUCT(AJ170:AJ269,$I291:$I390),IF($D$26="Investment",SUMPRODUCT(AJ170:AJ269,#REF!)))))," ")</f>
        <v xml:space="preserve"> </v>
      </c>
      <c r="AK275" s="713" t="str">
        <f>IF($D$30="T&amp;M",IF($D$26="Select Margin Class"," ",IF($D$26="Standard Rates",SUMPRODUCT(AK170:AK269,$F291:$F390),IF($D$26="Client Custom Rates",SUMPRODUCT(AK170:AK269,$I291:$I390),IF($D$26="Investment",SUMPRODUCT(AK170:AK269,#REF!)))))," ")</f>
        <v xml:space="preserve"> </v>
      </c>
      <c r="AL275" s="713" t="str">
        <f>IF($D$30="T&amp;M",IF($D$26="Select Margin Class"," ",IF($D$26="Standard Rates",SUMPRODUCT(AL170:AL269,$F291:$F390),IF($D$26="Client Custom Rates",SUMPRODUCT(AL170:AL269,$I291:$I390),IF($D$26="Investment",SUMPRODUCT(AL170:AL269,#REF!)))))," ")</f>
        <v xml:space="preserve"> </v>
      </c>
      <c r="AM275" s="713" t="str">
        <f>IF($D$30="T&amp;M",IF($D$26="Select Margin Class"," ",IF($D$26="Standard Rates",SUMPRODUCT(AM170:AM269,$F291:$F390),IF($D$26="Client Custom Rates",SUMPRODUCT(AM170:AM269,$I291:$I390),IF($D$26="Investment",SUMPRODUCT(AM170:AM269,#REF!)))))," ")</f>
        <v xml:space="preserve"> </v>
      </c>
      <c r="AN275" s="713" t="str">
        <f>IF($D$30="T&amp;M",IF($D$26="Select Margin Class"," ",IF($D$26="Standard Rates",SUMPRODUCT(AN170:AN269,$F291:$F390),IF($D$26="Client Custom Rates",SUMPRODUCT(AN170:AN269,$I291:$I390),IF($D$26="Investment",SUMPRODUCT(AN170:AN269,#REF!)))))," ")</f>
        <v xml:space="preserve"> </v>
      </c>
      <c r="AO275" s="713" t="str">
        <f>IF($D$30="T&amp;M",IF($D$26="Select Margin Class"," ",IF($D$26="Standard Rates",SUMPRODUCT(AO170:AO269,$F291:$F390),IF($D$26="Client Custom Rates",SUMPRODUCT(AO170:AO269,$I291:$I390),IF($D$26="Investment",SUMPRODUCT(AO170:AO269,#REF!)))))," ")</f>
        <v xml:space="preserve"> </v>
      </c>
      <c r="AP275" s="713" t="str">
        <f>IF($D$30="T&amp;M",IF($D$26="Select Margin Class"," ",IF($D$26="Standard Rates",SUMPRODUCT(AP170:AP269,$F291:$F390),IF($D$26="Client Custom Rates",SUMPRODUCT(AP170:AP269,$I291:$I390),IF($D$26="Investment",SUMPRODUCT(AP170:AP269,#REF!)))))," ")</f>
        <v xml:space="preserve"> </v>
      </c>
      <c r="AQ275" s="713" t="str">
        <f>IF($D$30="T&amp;M",IF($D$26="Select Margin Class"," ",IF($D$26="Standard Rates",SUMPRODUCT(AQ170:AQ269,$F291:$F390),IF($D$26="Client Custom Rates",SUMPRODUCT(AQ170:AQ269,$I291:$I390),IF($D$26="Investment",SUMPRODUCT(AQ170:AQ269,#REF!)))))," ")</f>
        <v xml:space="preserve"> </v>
      </c>
      <c r="AR275" s="713" t="str">
        <f>IF($D$30="T&amp;M",IF($D$26="Select Margin Class"," ",IF($D$26="Standard Rates",SUMPRODUCT(AR170:AR269,$F291:$F390),IF($D$26="Client Custom Rates",SUMPRODUCT(AR170:AR269,$I291:$I390),IF($D$26="Investment",SUMPRODUCT(AR170:AR269,#REF!)))))," ")</f>
        <v xml:space="preserve"> </v>
      </c>
      <c r="AS275" s="713" t="str">
        <f>IF($D$30="T&amp;M",IF($D$26="Select Margin Class"," ",IF($D$26="Standard Rates",SUMPRODUCT(AS170:AS269,$F291:$F390),IF($D$26="Client Custom Rates",SUMPRODUCT(AS170:AS269,$I291:$I390),IF($D$26="Investment",SUMPRODUCT(AS170:AS269,#REF!)))))," ")</f>
        <v xml:space="preserve"> </v>
      </c>
      <c r="AT275" s="713" t="str">
        <f>IF($D$30="T&amp;M",IF($D$26="Select Margin Class"," ",IF($D$26="Standard Rates",SUMPRODUCT(AT170:AT269,$F291:$F390),IF($D$26="Client Custom Rates",SUMPRODUCT(AT170:AT269,$I291:$I390),IF($D$26="Investment",SUMPRODUCT(AT170:AT269,#REF!)))))," ")</f>
        <v xml:space="preserve"> </v>
      </c>
      <c r="AU275" s="713" t="str">
        <f>IF($D$30="T&amp;M",IF($D$26="Select Margin Class"," ",IF($D$26="Standard Rates",SUMPRODUCT(AU170:AU269,$F291:$F390),IF($D$26="Client Custom Rates",SUMPRODUCT(AU170:AU269,$I291:$I390),IF($D$26="Investment",SUMPRODUCT(AU170:AU269,#REF!)))))," ")</f>
        <v xml:space="preserve"> </v>
      </c>
      <c r="AV275" s="713" t="str">
        <f>IF($D$30="T&amp;M",IF($D$26="Select Margin Class"," ",IF($D$26="Standard Rates",SUMPRODUCT(AV170:AV269,$F291:$F390),IF($D$26="Client Custom Rates",SUMPRODUCT(AV170:AV269,$I291:$I390),IF($D$26="Investment",SUMPRODUCT(AV170:AV269,#REF!)))))," ")</f>
        <v xml:space="preserve"> </v>
      </c>
      <c r="AW275" s="713" t="str">
        <f>IF($D$30="T&amp;M",IF($D$26="Select Margin Class"," ",IF($D$26="Standard Rates",SUMPRODUCT(AW170:AW269,$F291:$F390),IF($D$26="Client Custom Rates",SUMPRODUCT(AW170:AW269,$I291:$I390),IF($D$26="Investment",SUMPRODUCT(AW170:AW269,#REF!)))))," ")</f>
        <v xml:space="preserve"> </v>
      </c>
      <c r="AX275" s="713" t="str">
        <f>IF($D$30="T&amp;M",IF($D$26="Select Margin Class"," ",IF($D$26="Standard Rates",SUMPRODUCT(AX170:AX269,$F291:$F390),IF($D$26="Client Custom Rates",SUMPRODUCT(AX170:AX269,$I291:$I390),IF($D$26="Investment",SUMPRODUCT(AX170:AX269,#REF!)))))," ")</f>
        <v xml:space="preserve"> </v>
      </c>
      <c r="AY275" s="713" t="str">
        <f>IF($D$30="T&amp;M",IF($D$26="Select Margin Class"," ",IF($D$26="Standard Rates",SUMPRODUCT(AY170:AY269,$F291:$F390),IF($D$26="Client Custom Rates",SUMPRODUCT(AY170:AY269,$I291:$I390),IF($D$26="Investment",SUMPRODUCT(AY170:AY269,#REF!)))))," ")</f>
        <v xml:space="preserve"> </v>
      </c>
      <c r="AZ275" s="713" t="str">
        <f>IF($D$30="T&amp;M",IF($D$26="Select Margin Class"," ",IF($D$26="Standard Rates",SUMPRODUCT(AZ170:AZ269,$F291:$F390),IF($D$26="Client Custom Rates",SUMPRODUCT(AZ170:AZ269,$I291:$I390),IF($D$26="Investment",SUMPRODUCT(AZ170:AZ269,#REF!)))))," ")</f>
        <v xml:space="preserve"> </v>
      </c>
      <c r="BA275" s="713" t="str">
        <f>IF($D$30="T&amp;M",IF($D$26="Select Margin Class"," ",IF($D$26="Standard Rates",SUMPRODUCT(BA170:BA269,$F291:$F390),IF($D$26="Client Custom Rates",SUMPRODUCT(BA170:BA269,$I291:$I390),IF($D$26="Investment",SUMPRODUCT(BA170:BA269,#REF!)))))," ")</f>
        <v xml:space="preserve"> </v>
      </c>
      <c r="BB275" s="713" t="str">
        <f>IF($D$30="T&amp;M",IF($D$26="Select Margin Class"," ",IF($D$26="Standard Rates",SUMPRODUCT(BB170:BB269,$F291:$F390),IF($D$26="Client Custom Rates",SUMPRODUCT(BB170:BB269,$I291:$I390),IF($D$26="Investment",SUMPRODUCT(BB170:BB269,#REF!)))))," ")</f>
        <v xml:space="preserve"> </v>
      </c>
      <c r="BC275" s="713" t="str">
        <f>IF($D$30="T&amp;M",IF($D$26="Select Margin Class"," ",IF($D$26="Standard Rates",SUMPRODUCT(BC170:BC269,$F291:$F390),IF($D$26="Client Custom Rates",SUMPRODUCT(BC170:BC269,$I291:$I390),IF($D$26="Investment",SUMPRODUCT(BC170:BC269,#REF!)))))," ")</f>
        <v xml:space="preserve"> </v>
      </c>
      <c r="BD275" s="713" t="str">
        <f>IF($D$30="T&amp;M",IF($D$26="Select Margin Class"," ",IF($D$26="Standard Rates",SUMPRODUCT(BD170:BD269,$F291:$F390),IF($D$26="Client Custom Rates",SUMPRODUCT(BD170:BD269,$I291:$I390),IF($D$26="Investment",SUMPRODUCT(BD170:BD269,#REF!)))))," ")</f>
        <v xml:space="preserve"> </v>
      </c>
      <c r="BE275" s="713" t="str">
        <f>IF($D$30="T&amp;M",IF($D$26="Select Margin Class"," ",IF($D$26="Standard Rates",SUMPRODUCT(BE170:BE269,$F291:$F390),IF($D$26="Client Custom Rates",SUMPRODUCT(BE170:BE269,$I291:$I390),IF($D$26="Investment",SUMPRODUCT(BE170:BE269,#REF!)))))," ")</f>
        <v xml:space="preserve"> </v>
      </c>
      <c r="BF275" s="713" t="str">
        <f>IF($D$30="T&amp;M",IF($D$26="Select Margin Class"," ",IF($D$26="Standard Rates",SUMPRODUCT(BF170:BF269,$F291:$F390),IF($D$26="Client Custom Rates",SUMPRODUCT(BF170:BF269,$I291:$I390),IF($D$26="Investment",SUMPRODUCT(BF170:BF269,#REF!)))))," ")</f>
        <v xml:space="preserve"> </v>
      </c>
      <c r="BG275" s="713" t="str">
        <f>IF($D$30="T&amp;M",IF($D$26="Select Margin Class"," ",IF($D$26="Standard Rates",SUMPRODUCT(BG170:BG269,$F291:$F390),IF($D$26="Client Custom Rates",SUMPRODUCT(BG170:BG269,$I291:$I390),IF($D$26="Investment",SUMPRODUCT(BG170:BG269,#REF!)))))," ")</f>
        <v xml:space="preserve"> </v>
      </c>
      <c r="BH275" s="713" t="str">
        <f>IF($D$30="T&amp;M",IF($D$26="Select Margin Class"," ",IF($D$26="Standard Rates",SUMPRODUCT(BH170:BH269,$F291:$F390),IF($D$26="Client Custom Rates",SUMPRODUCT(BH170:BH269,$I291:$I390),IF($D$26="Investment",SUMPRODUCT(BH170:BH269,#REF!)))))," ")</f>
        <v xml:space="preserve"> </v>
      </c>
      <c r="BI275" s="713" t="str">
        <f>IF($D$30="T&amp;M",IF($D$26="Select Margin Class"," ",IF($D$26="Standard Rates",SUMPRODUCT(BI170:BI269,$F291:$F390),IF($D$26="Client Custom Rates",SUMPRODUCT(BI170:BI269,$I291:$I390),IF($D$26="Investment",SUMPRODUCT(BI170:BI269,#REF!)))))," ")</f>
        <v xml:space="preserve"> </v>
      </c>
      <c r="BJ275" s="713" t="str">
        <f>IF($D$30="T&amp;M",IF($D$26="Select Margin Class"," ",IF($D$26="Standard Rates",SUMPRODUCT(BJ170:BJ269,$F291:$F390),IF($D$26="Client Custom Rates",SUMPRODUCT(BJ170:BJ269,$I291:$I390),IF($D$26="Investment",SUMPRODUCT(BJ170:BJ269,#REF!)))))," ")</f>
        <v xml:space="preserve"> </v>
      </c>
      <c r="BK275" s="713" t="str">
        <f>IF($D$30="T&amp;M",IF($D$26="Select Margin Class"," ",IF($D$26="Standard Rates",SUMPRODUCT(BK170:BK269,$F291:$F390),IF($D$26="Client Custom Rates",SUMPRODUCT(BK170:BK269,$I291:$I390),IF($D$26="Investment",SUMPRODUCT(BK170:BK269,#REF!)))))," ")</f>
        <v xml:space="preserve"> </v>
      </c>
      <c r="BL275" s="713" t="str">
        <f>IF($D$30="T&amp;M",IF($D$26="Select Margin Class"," ",IF($D$26="Standard Rates",SUMPRODUCT(BL170:BL269,$F291:$F390),IF($D$26="Client Custom Rates",SUMPRODUCT(BL170:BL269,$I291:$I390),IF($D$26="Investment",SUMPRODUCT(BL170:BL269,#REF!)))))," ")</f>
        <v xml:space="preserve"> </v>
      </c>
      <c r="BM275" s="713" t="str">
        <f>IF($D$30="T&amp;M",IF($D$26="Select Margin Class"," ",IF($D$26="Standard Rates",SUMPRODUCT(BM170:BM269,$F291:$F390),IF($D$26="Client Custom Rates",SUMPRODUCT(BM170:BM269,$I291:$I390),IF($D$26="Investment",SUMPRODUCT(BM170:BM269,#REF!)))))," ")</f>
        <v xml:space="preserve"> </v>
      </c>
      <c r="BN275" s="1336" t="str">
        <f>IF($D$30="T&amp;M",IF($D$26="Select Margin Class"," ",IF($D$26="Standard Rates",SUMPRODUCT(BN170:BN269,$F291:$F390),IF($D$26="Client Custom Rates",SUMPRODUCT(BN170:BN269,$I291:$I390),IF($D$26="Investment",SUMPRODUCT(BN170:BN269,#REF!)))))," ")</f>
        <v xml:space="preserve"> </v>
      </c>
    </row>
    <row r="276" spans="1:66" hidden="1" x14ac:dyDescent="0.3">
      <c r="E276" s="398"/>
      <c r="F276" s="398"/>
      <c r="G276" s="398"/>
      <c r="H276" s="398"/>
      <c r="I276" s="398"/>
      <c r="J276" s="398"/>
      <c r="K276" s="398"/>
      <c r="L276" s="398"/>
      <c r="M276" s="398"/>
      <c r="N276" s="398"/>
      <c r="O276" s="398"/>
      <c r="P276" s="398"/>
      <c r="Q276" s="398"/>
      <c r="R276" s="398"/>
      <c r="S276" s="398"/>
      <c r="T276" s="398"/>
      <c r="U276" s="398"/>
      <c r="V276" s="398"/>
      <c r="W276" s="398"/>
      <c r="X276" s="398"/>
      <c r="Y276" s="398"/>
      <c r="Z276" s="398"/>
      <c r="AA276" s="398"/>
      <c r="AB276" s="398"/>
      <c r="AC276" s="398"/>
      <c r="AH276" s="398"/>
      <c r="AI276" s="398"/>
      <c r="AJ276" s="398"/>
      <c r="AK276" s="398"/>
      <c r="AL276" s="398"/>
      <c r="AM276" s="398"/>
      <c r="AN276" s="398"/>
      <c r="AO276" s="398"/>
      <c r="AP276" s="398"/>
      <c r="AQ276" s="398"/>
      <c r="AR276" s="398"/>
      <c r="AS276" s="398"/>
      <c r="AT276" s="398"/>
      <c r="AU276" s="398"/>
      <c r="AV276" s="398"/>
      <c r="AW276" s="398"/>
      <c r="AX276" s="398"/>
      <c r="AY276" s="398"/>
      <c r="AZ276" s="398"/>
      <c r="BA276" s="398"/>
      <c r="BB276" s="398"/>
      <c r="BC276" s="398"/>
      <c r="BD276" s="398"/>
      <c r="BE276" s="398"/>
      <c r="BF276" s="398"/>
      <c r="BG276" s="398"/>
      <c r="BH276" s="398"/>
      <c r="BI276" s="398"/>
      <c r="BJ276" s="398"/>
      <c r="BK276" s="398"/>
      <c r="BL276" s="398"/>
      <c r="BM276" s="398"/>
      <c r="BN276" s="398"/>
    </row>
    <row r="277" spans="1:66" hidden="1" x14ac:dyDescent="0.3">
      <c r="D277" s="904" t="s">
        <v>181</v>
      </c>
      <c r="E277" s="902"/>
      <c r="F277" s="902"/>
      <c r="G277" s="902"/>
      <c r="H277" s="902"/>
      <c r="I277" s="902"/>
      <c r="J277" s="902"/>
      <c r="K277" s="902"/>
      <c r="L277" s="902"/>
      <c r="M277" s="902"/>
      <c r="N277" s="902"/>
      <c r="O277" s="902"/>
      <c r="P277" s="902"/>
      <c r="Q277" s="902"/>
      <c r="R277" s="902"/>
      <c r="S277" s="902"/>
      <c r="T277" s="902"/>
      <c r="U277" s="902"/>
      <c r="V277" s="902"/>
      <c r="W277" s="902"/>
      <c r="X277" s="902"/>
      <c r="Y277" s="902"/>
      <c r="Z277" s="902"/>
      <c r="AA277" s="902"/>
      <c r="AB277" s="902"/>
      <c r="AC277" s="902"/>
      <c r="AH277" s="902"/>
      <c r="AI277" s="902"/>
      <c r="AJ277" s="902"/>
      <c r="AK277" s="902"/>
      <c r="AL277" s="902"/>
      <c r="AM277" s="902"/>
      <c r="AN277" s="902"/>
      <c r="AO277" s="902"/>
      <c r="AP277" s="902"/>
      <c r="AQ277" s="902"/>
      <c r="AR277" s="902"/>
      <c r="AS277" s="902"/>
      <c r="AT277" s="902"/>
      <c r="AU277" s="902"/>
      <c r="AV277" s="902"/>
      <c r="AW277" s="902"/>
      <c r="AX277" s="902"/>
      <c r="AY277" s="902"/>
      <c r="AZ277" s="902"/>
      <c r="BA277" s="902"/>
      <c r="BB277" s="902"/>
      <c r="BC277" s="902"/>
      <c r="BD277" s="902"/>
      <c r="BE277" s="902"/>
      <c r="BF277" s="902"/>
      <c r="BG277" s="902"/>
      <c r="BH277" s="902"/>
      <c r="BI277" s="902"/>
      <c r="BJ277" s="902"/>
      <c r="BK277" s="902"/>
      <c r="BL277" s="902"/>
      <c r="BM277" s="902"/>
      <c r="BN277" s="902"/>
    </row>
    <row r="278" spans="1:66" hidden="1" x14ac:dyDescent="0.3">
      <c r="D278" s="903" t="s">
        <v>180</v>
      </c>
      <c r="E278" s="905" t="str">
        <f>IF($D$30="Fixed Fee",IF($D$26="Select Margin Class"," ",IF($D$26="Standard Rates",SUMPRODUCT(E170:E269,$F291:$F390)*(1+#REF!),IF($D$26="Client Custom Rates",SUMPRODUCT(E170:E269,$I291:$I390)*(1+#REF!),IF($D$26="Investment",SUMPRODUCT(E170:E269,#REF!)*(1+#REF!)))))," ")</f>
        <v xml:space="preserve"> </v>
      </c>
      <c r="F278" s="905" t="str">
        <f>IF($D$30="Fixed Fee",IF($D$26="Select Margin Class"," ",IF($D$26="Standard Rates",SUMPRODUCT(F170:F269,$F291:$F390)*(1+#REF!),IF($D$26="Client Custom Rates",SUMPRODUCT(F170:F269,$I291:$I390)*(1+#REF!),IF($D$26="Investment",SUMPRODUCT(F170:F269,#REF!)*(1+#REF!)))))," ")</f>
        <v xml:space="preserve"> </v>
      </c>
      <c r="G278" s="905" t="str">
        <f>IF($D$30="Fixed Fee",IF($D$26="Select Margin Class"," ",IF($D$26="Standard Rates",SUMPRODUCT(G170:G269,$F291:$F390)*(1+#REF!),IF($D$26="Client Custom Rates",SUMPRODUCT(G170:G269,$I291:$I390)*(1+#REF!),IF($D$26="Investment",SUMPRODUCT(G170:G269,#REF!)*(1+#REF!)))))," ")</f>
        <v xml:space="preserve"> </v>
      </c>
      <c r="H278" s="905"/>
      <c r="I278" s="905" t="str">
        <f>IF($D$30="Fixed Fee",IF($D$26="Select Margin Class"," ",IF($D$26="Standard Rates",SUMPRODUCT(I170:I269,$F291:$F390)*(1+#REF!),IF($D$26="Client Custom Rates",SUMPRODUCT(I170:I269,$I291:$I390)*(1+#REF!),IF($D$26="Investment",SUMPRODUCT(I170:I269,#REF!)*(1+#REF!)))))," ")</f>
        <v xml:space="preserve"> </v>
      </c>
      <c r="J278" s="905" t="str">
        <f>IF($D$30="Fixed Fee",IF($D$26="Select Margin Class"," ",IF($D$26="Standard Rates",SUMPRODUCT(J170:J269,$F291:$F390)*(1+#REF!),IF($D$26="Client Custom Rates",SUMPRODUCT(J170:J269,$I291:$I390)*(1+#REF!),IF($D$26="Investment",SUMPRODUCT(J170:J269,#REF!)*(1+#REF!)))))," ")</f>
        <v xml:space="preserve"> </v>
      </c>
      <c r="K278" s="905" t="str">
        <f>IF($D$30="Fixed Fee",IF($D$26="Select Margin Class"," ",IF($D$26="Standard Rates",SUMPRODUCT(K170:K269,$F291:$F390)*(1+#REF!),IF($D$26="Client Custom Rates",SUMPRODUCT(K170:K269,$I291:$I390)*(1+#REF!),IF($D$26="Investment",SUMPRODUCT(K170:K269,#REF!)*(1+#REF!)))))," ")</f>
        <v xml:space="preserve"> </v>
      </c>
      <c r="L278" s="905" t="str">
        <f>IF($D$30="Fixed Fee",IF($D$26="Select Margin Class"," ",IF($D$26="Standard Rates",SUMPRODUCT(L170:L269,$F291:$F390)*(1+#REF!),IF($D$26="Client Custom Rates",SUMPRODUCT(K28:K170,$I291:$I390)*(1+#REF!),IF($D$26="Investment",SUMPRODUCT(K28:K170,#REF!)*(1+#REF!)))))," ")</f>
        <v xml:space="preserve"> </v>
      </c>
      <c r="M278" s="905" t="str">
        <f>IF($D$30="Fixed Fee",IF($D$26="Select Margin Class"," ",IF($D$26="Standard Rates",SUMPRODUCT(M170:M269,$F291:$F390)*(1+#REF!),IF($D$26="Client Custom Rates",SUMPRODUCT(M170:M269,$I291:$I390)*(1+#REF!),IF($D$26="Investment",SUMPRODUCT(M170:M269,#REF!)*(1+#REF!)))))," ")</f>
        <v xml:space="preserve"> </v>
      </c>
      <c r="N278" s="905" t="str">
        <f>IF($D$30="Fixed Fee",IF($D$26="Select Margin Class"," ",IF($D$26="Standard Rates",SUMPRODUCT(N170:N269,$F291:$F390)*(1+#REF!),IF($D$26="Client Custom Rates",SUMPRODUCT(N170:N269,$I291:$I390)*(1+#REF!),IF($D$26="Investment",SUMPRODUCT(N170:N269,#REF!)*(1+#REF!)))))," ")</f>
        <v xml:space="preserve"> </v>
      </c>
      <c r="O278" s="905" t="str">
        <f>IF($D$30="Fixed Fee",IF($D$26="Select Margin Class"," ",IF($D$26="Standard Rates",SUMPRODUCT(O170:O269,$F291:$F390)*(1+#REF!),IF($D$26="Client Custom Rates",SUMPRODUCT(O170:O269,$I291:$I390)*(1+#REF!),IF($D$26="Investment",SUMPRODUCT(O170:O269,#REF!)*(1+#REF!)))))," ")</f>
        <v xml:space="preserve"> </v>
      </c>
      <c r="P278" s="905" t="str">
        <f>IF($D$30="Fixed Fee",IF($D$26="Select Margin Class"," ",IF($D$26="Standard Rates",SUMPRODUCT(P170:P269,$F291:$F390)*(1+#REF!),IF($D$26="Client Custom Rates",SUMPRODUCT(P170:P269,$I291:$I390)*(1+#REF!),IF($D$26="Investment",SUMPRODUCT(P170:P269,#REF!)*(1+#REF!)))))," ")</f>
        <v xml:space="preserve"> </v>
      </c>
      <c r="Q278" s="905" t="str">
        <f>IF($D$30="Fixed Fee",IF($D$26="Select Margin Class"," ",IF($D$26="Standard Rates",SUMPRODUCT(Q170:Q269,$F291:$F390)*(1+#REF!),IF($D$26="Client Custom Rates",SUMPRODUCT(Q170:Q269,$I291:$I390)*(1+#REF!),IF($D$26="Investment",SUMPRODUCT(Q170:Q269,#REF!)*(1+#REF!)))))," ")</f>
        <v xml:space="preserve"> </v>
      </c>
      <c r="R278" s="905" t="str">
        <f>IF($D$30="Fixed Fee",IF($D$26="Select Margin Class"," ",IF($D$26="Standard Rates",SUMPRODUCT(R170:R269,$F291:$F390)*(1+#REF!),IF($D$26="Client Custom Rates",SUMPRODUCT(R170:R269,$I291:$I390)*(1+#REF!),IF($D$26="Investment",SUMPRODUCT(R170:R269,#REF!)*(1+#REF!)))))," ")</f>
        <v xml:space="preserve"> </v>
      </c>
      <c r="S278" s="905" t="str">
        <f>IF($D$30="Fixed Fee",IF($D$26="Select Margin Class"," ",IF($D$26="Standard Rates",SUMPRODUCT(S170:S269,$F291:$F390)*(1+#REF!),IF($D$26="Client Custom Rates",SUMPRODUCT(S170:S269,$I291:$I390)*(1+#REF!),IF($D$26="Investment",SUMPRODUCT(S170:S269,#REF!)*(1+#REF!)))))," ")</f>
        <v xml:space="preserve"> </v>
      </c>
      <c r="T278" s="905" t="str">
        <f>IF($D$30="Fixed Fee",IF($D$26="Select Margin Class"," ",IF($D$26="Standard Rates",SUMPRODUCT(T170:T269,$F291:$F390)*(1+#REF!),IF($D$26="Client Custom Rates",SUMPRODUCT(T170:T269,$I291:$I390)*(1+#REF!),IF($D$26="Investment",SUMPRODUCT(T170:T269,#REF!)*(1+#REF!)))))," ")</f>
        <v xml:space="preserve"> </v>
      </c>
      <c r="U278" s="905" t="str">
        <f>IF($D$30="Fixed Fee",IF($D$26="Select Margin Class"," ",IF($D$26="Standard Rates",SUMPRODUCT(U170:U269,$F291:$F390)*(1+#REF!),IF($D$26="Client Custom Rates",SUMPRODUCT(U170:U269,$I291:$I390)*(1+#REF!),IF($D$26="Investment",SUMPRODUCT(U170:U269,#REF!)*(1+#REF!)))))," ")</f>
        <v xml:space="preserve"> </v>
      </c>
      <c r="V278" s="905" t="str">
        <f>IF($D$30="Fixed Fee",IF($D$26="Select Margin Class"," ",IF($D$26="Standard Rates",SUMPRODUCT(V170:V269,$F291:$F390)*(1+#REF!),IF($D$26="Client Custom Rates",SUMPRODUCT(V170:V269,$I291:$I390)*(1+#REF!),IF($D$26="Investment",SUMPRODUCT(V170:V269,#REF!)*(1+#REF!)))))," ")</f>
        <v xml:space="preserve"> </v>
      </c>
      <c r="W278" s="905" t="str">
        <f>IF($D$30="Fixed Fee",IF($D$26="Select Margin Class"," ",IF($D$26="Standard Rates",SUMPRODUCT(W170:W269,$F291:$F390)*(1+#REF!),IF($D$26="Client Custom Rates",SUMPRODUCT(W170:W269,$I291:$I390)*(1+#REF!),IF($D$26="Investment",SUMPRODUCT(W170:W269,#REF!)*(1+#REF!)))))," ")</f>
        <v xml:space="preserve"> </v>
      </c>
      <c r="X278" s="905"/>
      <c r="Y278" s="905" t="str">
        <f>IF($D$30="Fixed Fee",IF($D$26="Select Margin Class"," ",IF($D$26="Standard Rates",SUMPRODUCT(Y170:Y269,$F291:$F390)*(1+#REF!),IF($D$26="Client Custom Rates",SUMPRODUCT(Y170:Y269,$I291:$I390)*(1+#REF!),IF($D$26="Investment",SUMPRODUCT(Y170:Y269,#REF!)*(1+#REF!)))))," ")</f>
        <v xml:space="preserve"> </v>
      </c>
      <c r="Z278" s="905" t="str">
        <f>IF($D$30="Fixed Fee",IF($D$26="Select Margin Class"," ",IF($D$26="Standard Rates",SUMPRODUCT(Z170:Z269,$F291:$F390)*(1+#REF!),IF($D$26="Client Custom Rates",SUMPRODUCT(Z170:Z269,$I291:$I390)*(1+#REF!),IF($D$26="Investment",SUMPRODUCT(Z170:Z269,#REF!)*(1+#REF!)))))," ")</f>
        <v xml:space="preserve"> </v>
      </c>
      <c r="AA278" s="905" t="str">
        <f>IF($D$30="Fixed Fee",IF($D$26="Select Margin Class"," ",IF($D$26="Standard Rates",SUMPRODUCT(AA170:AA269,$F291:$F390)*(1+#REF!),IF($D$26="Client Custom Rates",SUMPRODUCT(AA170:AA269,$I291:$I390)*(1+#REF!),IF($D$26="Investment",SUMPRODUCT(AA170:AA269,#REF!)*(1+#REF!)))))," ")</f>
        <v xml:space="preserve"> </v>
      </c>
      <c r="AB278" s="905" t="str">
        <f>IF($D$30="Fixed Fee",IF($D$26="Select Margin Class"," ",IF($D$26="Standard Rates",SUMPRODUCT(AB170:AB269,$F291:$F390)*(1+#REF!),IF($D$26="Client Custom Rates",SUMPRODUCT(AB170:AB269,$I291:$I390)*(1+#REF!),IF($D$26="Investment",SUMPRODUCT(AB170:AB269,#REF!)*(1+#REF!)))))," ")</f>
        <v xml:space="preserve"> </v>
      </c>
      <c r="AC278" s="905" t="str">
        <f>IF($D$30="Fixed Fee",IF($D$26="Select Margin Class"," ",IF($D$26="Standard Rates",SUMPRODUCT(AC170:AC269,$F291:$F390)*(1+#REF!),IF($D$26="Client Custom Rates",SUMPRODUCT(AC170:AC269,$I291:$I390)*(1+#REF!),IF($D$26="Investment",SUMPRODUCT(AC170:AC269,#REF!)*(1+#REF!)))))," ")</f>
        <v xml:space="preserve"> </v>
      </c>
      <c r="AH278" s="905" t="str">
        <f>IF($D$30="Fixed Fee",IF($D$26="Select Margin Class"," ",IF($D$26="Standard Rates",SUMPRODUCT(AH170:AH269,$F291:$F390)*(1+#REF!),IF($D$26="Client Custom Rates",SUMPRODUCT(AH170:AH269,$I291:$I390)*(1+#REF!),IF($D$26="Investment",SUMPRODUCT(AH170:AH269,#REF!)*(1+#REF!)))))," ")</f>
        <v xml:space="preserve"> </v>
      </c>
      <c r="AI278" s="905" t="str">
        <f>IF($D$30="Fixed Fee",IF($D$26="Select Margin Class"," ",IF($D$26="Standard Rates",SUMPRODUCT(AI170:AI269,$F291:$F390)*(1+#REF!),IF($D$26="Client Custom Rates",SUMPRODUCT(AI170:AI269,$I291:$I390)*(1+#REF!),IF($D$26="Investment",SUMPRODUCT(AI170:AI269,#REF!)*(1+#REF!)))))," ")</f>
        <v xml:space="preserve"> </v>
      </c>
      <c r="AJ278" s="905" t="str">
        <f>IF($D$30="Fixed Fee",IF($D$26="Select Margin Class"," ",IF($D$26="Standard Rates",SUMPRODUCT(AJ170:AJ269,$F291:$F390)*(1+#REF!),IF($D$26="Client Custom Rates",SUMPRODUCT(AJ170:AJ269,$I291:$I390)*(1+#REF!),IF($D$26="Investment",SUMPRODUCT(AJ170:AJ269,#REF!)*(1+#REF!)))))," ")</f>
        <v xml:space="preserve"> </v>
      </c>
      <c r="AK278" s="905" t="str">
        <f>IF($D$30="Fixed Fee",IF($D$26="Select Margin Class"," ",IF($D$26="Standard Rates",SUMPRODUCT(AK170:AK269,$F291:$F390)*(1+#REF!),IF($D$26="Client Custom Rates",SUMPRODUCT(AK170:AK269,$I291:$I390)*(1+#REF!),IF($D$26="Investment",SUMPRODUCT(AK170:AK269,#REF!)*(1+#REF!)))))," ")</f>
        <v xml:space="preserve"> </v>
      </c>
      <c r="AL278" s="905" t="str">
        <f>IF($D$30="Fixed Fee",IF($D$26="Select Margin Class"," ",IF($D$26="Standard Rates",SUMPRODUCT(AL170:AL269,$F291:$F390)*(1+#REF!),IF($D$26="Client Custom Rates",SUMPRODUCT(AL170:AL269,$I291:$I390)*(1+#REF!),IF($D$26="Investment",SUMPRODUCT(AL170:AL269,#REF!)*(1+#REF!)))))," ")</f>
        <v xml:space="preserve"> </v>
      </c>
      <c r="AM278" s="905" t="str">
        <f>IF($D$30="Fixed Fee",IF($D$26="Select Margin Class"," ",IF($D$26="Standard Rates",SUMPRODUCT(AM170:AM269,$F291:$F390)*(1+#REF!),IF($D$26="Client Custom Rates",SUMPRODUCT(AM170:AM269,$I291:$I390)*(1+#REF!),IF($D$26="Investment",SUMPRODUCT(AM170:AM269,#REF!)*(1+#REF!)))))," ")</f>
        <v xml:space="preserve"> </v>
      </c>
      <c r="AN278" s="905" t="str">
        <f>IF($D$30="Fixed Fee",IF($D$26="Select Margin Class"," ",IF($D$26="Standard Rates",SUMPRODUCT(AN170:AN269,$F291:$F390)*(1+#REF!),IF($D$26="Client Custom Rates",SUMPRODUCT(AN170:AN269,$I291:$I390)*(1+#REF!),IF($D$26="Investment",SUMPRODUCT(AN170:AN269,#REF!)*(1+#REF!)))))," ")</f>
        <v xml:space="preserve"> </v>
      </c>
      <c r="AO278" s="905" t="str">
        <f>IF($D$30="Fixed Fee",IF($D$26="Select Margin Class"," ",IF($D$26="Standard Rates",SUMPRODUCT(AO170:AO269,$F291:$F390)*(1+#REF!),IF($D$26="Client Custom Rates",SUMPRODUCT(AO170:AO269,$I291:$I390)*(1+#REF!),IF($D$26="Investment",SUMPRODUCT(AO170:AO269,#REF!)*(1+#REF!)))))," ")</f>
        <v xml:space="preserve"> </v>
      </c>
      <c r="AP278" s="905" t="str">
        <f>IF($D$30="Fixed Fee",IF($D$26="Select Margin Class"," ",IF($D$26="Standard Rates",SUMPRODUCT(AP170:AP269,$F291:$F390)*(1+#REF!),IF($D$26="Client Custom Rates",SUMPRODUCT(AP170:AP269,$I291:$I390)*(1+#REF!),IF($D$26="Investment",SUMPRODUCT(AP170:AP269,#REF!)*(1+#REF!)))))," ")</f>
        <v xml:space="preserve"> </v>
      </c>
      <c r="AQ278" s="905" t="str">
        <f>IF($D$30="Fixed Fee",IF($D$26="Select Margin Class"," ",IF($D$26="Standard Rates",SUMPRODUCT(AQ170:AQ269,$F291:$F390)*(1+#REF!),IF($D$26="Client Custom Rates",SUMPRODUCT(AQ170:AQ269,$I291:$I390)*(1+#REF!),IF($D$26="Investment",SUMPRODUCT(AQ170:AQ269,#REF!)*(1+#REF!)))))," ")</f>
        <v xml:space="preserve"> </v>
      </c>
      <c r="AR278" s="905" t="str">
        <f>IF($D$30="Fixed Fee",IF($D$26="Select Margin Class"," ",IF($D$26="Standard Rates",SUMPRODUCT(AR170:AR269,$F291:$F390)*(1+#REF!),IF($D$26="Client Custom Rates",SUMPRODUCT(AR170:AR269,$I291:$I390)*(1+#REF!),IF($D$26="Investment",SUMPRODUCT(AR170:AR269,#REF!)*(1+#REF!)))))," ")</f>
        <v xml:space="preserve"> </v>
      </c>
      <c r="AS278" s="905" t="str">
        <f>IF($D$30="Fixed Fee",IF($D$26="Select Margin Class"," ",IF($D$26="Standard Rates",SUMPRODUCT(AS170:AS269,$F291:$F390)*(1+#REF!),IF($D$26="Client Custom Rates",SUMPRODUCT(AS170:AS269,$I291:$I390)*(1+#REF!),IF($D$26="Investment",SUMPRODUCT(AS170:AS269,#REF!)*(1+#REF!)))))," ")</f>
        <v xml:space="preserve"> </v>
      </c>
      <c r="AT278" s="905" t="str">
        <f>IF($D$30="Fixed Fee",IF($D$26="Select Margin Class"," ",IF($D$26="Standard Rates",SUMPRODUCT(AT170:AT269,$F291:$F390)*(1+#REF!),IF($D$26="Client Custom Rates",SUMPRODUCT(AT170:AT269,$I291:$I390)*(1+#REF!),IF($D$26="Investment",SUMPRODUCT(AT170:AT269,#REF!)*(1+#REF!)))))," ")</f>
        <v xml:space="preserve"> </v>
      </c>
      <c r="AU278" s="905" t="str">
        <f>IF($D$30="Fixed Fee",IF($D$26="Select Margin Class"," ",IF($D$26="Standard Rates",SUMPRODUCT(AU170:AU269,$F291:$F390)*(1+#REF!),IF($D$26="Client Custom Rates",SUMPRODUCT(AU170:AU269,$I291:$I390)*(1+#REF!),IF($D$26="Investment",SUMPRODUCT(AU170:AU269,#REF!)*(1+#REF!)))))," ")</f>
        <v xml:space="preserve"> </v>
      </c>
      <c r="AV278" s="905" t="str">
        <f>IF($D$30="Fixed Fee",IF($D$26="Select Margin Class"," ",IF($D$26="Standard Rates",SUMPRODUCT(AV170:AV269,$F291:$F390)*(1+#REF!),IF($D$26="Client Custom Rates",SUMPRODUCT(AV170:AV269,$I291:$I390)*(1+#REF!),IF($D$26="Investment",SUMPRODUCT(AV170:AV269,#REF!)*(1+#REF!)))))," ")</f>
        <v xml:space="preserve"> </v>
      </c>
      <c r="AW278" s="905" t="str">
        <f>IF($D$30="Fixed Fee",IF($D$26="Select Margin Class"," ",IF($D$26="Standard Rates",SUMPRODUCT(AW170:AW269,$F291:$F390)*(1+#REF!),IF($D$26="Client Custom Rates",SUMPRODUCT(AW170:AW269,$I291:$I390)*(1+#REF!),IF($D$26="Investment",SUMPRODUCT(AW170:AW269,#REF!)*(1+#REF!)))))," ")</f>
        <v xml:space="preserve"> </v>
      </c>
      <c r="AX278" s="905" t="str">
        <f>IF($D$30="Fixed Fee",IF($D$26="Select Margin Class"," ",IF($D$26="Standard Rates",SUMPRODUCT(AX170:AX269,$F291:$F390)*(1+#REF!),IF($D$26="Client Custom Rates",SUMPRODUCT(AX170:AX269,$I291:$I390)*(1+#REF!),IF($D$26="Investment",SUMPRODUCT(AX170:AX269,#REF!)*(1+#REF!)))))," ")</f>
        <v xml:space="preserve"> </v>
      </c>
      <c r="AY278" s="905" t="str">
        <f>IF($D$30="Fixed Fee",IF($D$26="Select Margin Class"," ",IF($D$26="Standard Rates",SUMPRODUCT(AY170:AY269,$F291:$F390)*(1+#REF!),IF($D$26="Client Custom Rates",SUMPRODUCT(AY170:AY269,$I291:$I390)*(1+#REF!),IF($D$26="Investment",SUMPRODUCT(AY170:AY269,#REF!)*(1+#REF!)))))," ")</f>
        <v xml:space="preserve"> </v>
      </c>
      <c r="AZ278" s="905" t="str">
        <f>IF($D$30="Fixed Fee",IF($D$26="Select Margin Class"," ",IF($D$26="Standard Rates",SUMPRODUCT(AZ170:AZ269,$F291:$F390)*(1+#REF!),IF($D$26="Client Custom Rates",SUMPRODUCT(AZ170:AZ269,$I291:$I390)*(1+#REF!),IF($D$26="Investment",SUMPRODUCT(AZ170:AZ269,#REF!)*(1+#REF!)))))," ")</f>
        <v xml:space="preserve"> </v>
      </c>
      <c r="BA278" s="905" t="str">
        <f>IF($D$30="Fixed Fee",IF($D$26="Select Margin Class"," ",IF($D$26="Standard Rates",SUMPRODUCT(BA170:BA269,$F291:$F390)*(1+#REF!),IF($D$26="Client Custom Rates",SUMPRODUCT(BA170:BA269,$I291:$I390)*(1+#REF!),IF($D$26="Investment",SUMPRODUCT(BA170:BA269,#REF!)*(1+#REF!)))))," ")</f>
        <v xml:space="preserve"> </v>
      </c>
      <c r="BB278" s="905" t="str">
        <f>IF($D$30="Fixed Fee",IF($D$26="Select Margin Class"," ",IF($D$26="Standard Rates",SUMPRODUCT(BB170:BB269,$F291:$F390)*(1+#REF!),IF($D$26="Client Custom Rates",SUMPRODUCT(BB170:BB269,$I291:$I390)*(1+#REF!),IF($D$26="Investment",SUMPRODUCT(BB170:BB269,#REF!)*(1+#REF!)))))," ")</f>
        <v xml:space="preserve"> </v>
      </c>
      <c r="BC278" s="905" t="str">
        <f>IF($D$30="Fixed Fee",IF($D$26="Select Margin Class"," ",IF($D$26="Standard Rates",SUMPRODUCT(BC170:BC269,$F291:$F390)*(1+#REF!),IF($D$26="Client Custom Rates",SUMPRODUCT(BC170:BC269,$I291:$I390)*(1+#REF!),IF($D$26="Investment",SUMPRODUCT(BC170:BC269,#REF!)*(1+#REF!)))))," ")</f>
        <v xml:space="preserve"> </v>
      </c>
      <c r="BD278" s="905" t="str">
        <f>IF($D$30="Fixed Fee",IF($D$26="Select Margin Class"," ",IF($D$26="Standard Rates",SUMPRODUCT(BD170:BD269,$F291:$F390)*(1+#REF!),IF($D$26="Client Custom Rates",SUMPRODUCT(BD170:BD269,$I291:$I390)*(1+#REF!),IF($D$26="Investment",SUMPRODUCT(BD170:BD269,#REF!)*(1+#REF!)))))," ")</f>
        <v xml:space="preserve"> </v>
      </c>
      <c r="BE278" s="905" t="str">
        <f>IF($D$30="Fixed Fee",IF($D$26="Select Margin Class"," ",IF($D$26="Standard Rates",SUMPRODUCT(BE170:BE269,$F291:$F390)*(1+#REF!),IF($D$26="Client Custom Rates",SUMPRODUCT(BE170:BE269,$I291:$I390)*(1+#REF!),IF($D$26="Investment",SUMPRODUCT(BE170:BE269,#REF!)*(1+#REF!)))))," ")</f>
        <v xml:space="preserve"> </v>
      </c>
      <c r="BF278" s="905" t="str">
        <f>IF($D$30="Fixed Fee",IF($D$26="Select Margin Class"," ",IF($D$26="Standard Rates",SUMPRODUCT(BF170:BF269,$F291:$F390)*(1+#REF!),IF($D$26="Client Custom Rates",SUMPRODUCT(BF170:BF269,$I291:$I390)*(1+#REF!),IF($D$26="Investment",SUMPRODUCT(BF170:BF269,#REF!)*(1+#REF!)))))," ")</f>
        <v xml:space="preserve"> </v>
      </c>
      <c r="BG278" s="905" t="str">
        <f>IF($D$30="Fixed Fee",IF($D$26="Select Margin Class"," ",IF($D$26="Standard Rates",SUMPRODUCT(BG170:BG269,$F291:$F390)*(1+#REF!),IF($D$26="Client Custom Rates",SUMPRODUCT(BG170:BG269,$I291:$I390)*(1+#REF!),IF($D$26="Investment",SUMPRODUCT(BG170:BG269,#REF!)*(1+#REF!)))))," ")</f>
        <v xml:space="preserve"> </v>
      </c>
      <c r="BH278" s="905" t="str">
        <f>IF($D$30="Fixed Fee",IF($D$26="Select Margin Class"," ",IF($D$26="Standard Rates",SUMPRODUCT(BH170:BH269,$F291:$F390)*(1+#REF!),IF($D$26="Client Custom Rates",SUMPRODUCT(BH170:BH269,$I291:$I390)*(1+#REF!),IF($D$26="Investment",SUMPRODUCT(BH170:BH269,#REF!)*(1+#REF!)))))," ")</f>
        <v xml:space="preserve"> </v>
      </c>
      <c r="BI278" s="905" t="str">
        <f>IF($D$30="Fixed Fee",IF($D$26="Select Margin Class"," ",IF($D$26="Standard Rates",SUMPRODUCT(BI170:BI269,$F291:$F390)*(1+#REF!),IF($D$26="Client Custom Rates",SUMPRODUCT(BI170:BI269,$I291:$I390)*(1+#REF!),IF($D$26="Investment",SUMPRODUCT(BI170:BI269,#REF!)*(1+#REF!)))))," ")</f>
        <v xml:space="preserve"> </v>
      </c>
      <c r="BJ278" s="905" t="str">
        <f>IF($D$30="Fixed Fee",IF($D$26="Select Margin Class"," ",IF($D$26="Standard Rates",SUMPRODUCT(BJ170:BJ269,$F291:$F390)*(1+#REF!),IF($D$26="Client Custom Rates",SUMPRODUCT(BJ170:BJ269,$I291:$I390)*(1+#REF!),IF($D$26="Investment",SUMPRODUCT(BJ170:BJ269,#REF!)*(1+#REF!)))))," ")</f>
        <v xml:space="preserve"> </v>
      </c>
      <c r="BK278" s="905" t="str">
        <f>IF($D$30="Fixed Fee",IF($D$26="Select Margin Class"," ",IF($D$26="Standard Rates",SUMPRODUCT(BK170:BK269,$F291:$F390)*(1+#REF!),IF($D$26="Client Custom Rates",SUMPRODUCT(BK170:BK269,$I291:$I390)*(1+#REF!),IF($D$26="Investment",SUMPRODUCT(BK170:BK269,#REF!)*(1+#REF!)))))," ")</f>
        <v xml:space="preserve"> </v>
      </c>
      <c r="BL278" s="905" t="str">
        <f>IF($D$30="Fixed Fee",IF($D$26="Select Margin Class"," ",IF($D$26="Standard Rates",SUMPRODUCT(BL170:BL269,$F291:$F390)*(1+#REF!),IF($D$26="Client Custom Rates",SUMPRODUCT(BL170:BL269,$I291:$I390)*(1+#REF!),IF($D$26="Investment",SUMPRODUCT(BL170:BL269,#REF!)*(1+#REF!)))))," ")</f>
        <v xml:space="preserve"> </v>
      </c>
      <c r="BM278" s="906" t="str">
        <f>IF($D$30="Fixed Fee",IF($D$26="Select Margin Class"," ",IF($D$26="Standard Rates",SUMPRODUCT(BM170:BM269,$F291:$F390)*(1+#REF!),IF($D$26="Client Custom Rates",SUMPRODUCT(BM170:BM269,$I291:$I390)*(1+#REF!),IF($D$26="Investment",SUMPRODUCT(BM170:BM269,#REF!)*(1+#REF!)))))," ")</f>
        <v xml:space="preserve"> </v>
      </c>
      <c r="BN278" s="906" t="str">
        <f>IF($D$30="Fixed Fee",IF($D$26="Select Margin Class"," ",IF($D$26="Standard Rates",SUMPRODUCT(BN170:BN269,$F291:$F390)*(1+#REF!),IF($D$26="Client Custom Rates",SUMPRODUCT(BN170:BN269,$I291:$I390)*(1+#REF!),IF($D$26="Investment",SUMPRODUCT(BN170:BN269,#REF!)*(1+#REF!)))))," ")</f>
        <v xml:space="preserve"> </v>
      </c>
    </row>
    <row r="279" spans="1:66" hidden="1" x14ac:dyDescent="0.3">
      <c r="D279" s="1211" t="s">
        <v>2270</v>
      </c>
    </row>
    <row r="280" spans="1:66" hidden="1" x14ac:dyDescent="0.3"/>
    <row r="282" spans="1:66" s="403" customFormat="1" ht="17.5" x14ac:dyDescent="0.3">
      <c r="A282" s="395"/>
      <c r="B282" s="395"/>
      <c r="C282" s="801" t="s">
        <v>2322</v>
      </c>
    </row>
    <row r="283" spans="1:66" x14ac:dyDescent="0.3">
      <c r="C283" s="1714" t="s">
        <v>3247</v>
      </c>
      <c r="D283" s="1714"/>
      <c r="E283" s="1714"/>
      <c r="F283" s="1714"/>
      <c r="G283" s="1714"/>
      <c r="H283" s="1715"/>
      <c r="I283" s="1714"/>
      <c r="J283" s="1714"/>
      <c r="K283" s="1714"/>
      <c r="L283" s="1714"/>
      <c r="M283" s="1714"/>
      <c r="N283" s="1714"/>
      <c r="O283" s="1469"/>
      <c r="P283" s="1469"/>
    </row>
    <row r="284" spans="1:66" x14ac:dyDescent="0.3">
      <c r="C284" s="1678" t="s">
        <v>2323</v>
      </c>
      <c r="D284" s="1678"/>
      <c r="E284" s="1678"/>
      <c r="F284" s="1678"/>
      <c r="G284" s="1678"/>
      <c r="H284" s="1678"/>
      <c r="I284" s="1678"/>
      <c r="J284" s="1678"/>
      <c r="K284" s="1678"/>
      <c r="L284" s="1678"/>
      <c r="M284" s="1678"/>
      <c r="N284" s="1678"/>
      <c r="O284" s="649"/>
      <c r="P284" s="649"/>
    </row>
    <row r="285" spans="1:66" x14ac:dyDescent="0.3">
      <c r="C285" s="1467" t="s">
        <v>3174</v>
      </c>
      <c r="D285" s="1466"/>
      <c r="E285" s="1466"/>
      <c r="F285" s="1466"/>
      <c r="G285" s="1466"/>
      <c r="H285" s="1466"/>
      <c r="I285" s="1466"/>
      <c r="J285" s="1466"/>
      <c r="K285" s="1466"/>
      <c r="L285" s="1466"/>
      <c r="M285" s="1466"/>
      <c r="N285" s="1466"/>
      <c r="O285" s="649"/>
      <c r="P285" s="649"/>
    </row>
    <row r="286" spans="1:66" x14ac:dyDescent="0.3">
      <c r="C286" s="1677" t="s">
        <v>3248</v>
      </c>
      <c r="D286" s="1677"/>
      <c r="E286" s="1677"/>
      <c r="F286" s="1677"/>
      <c r="G286" s="1677"/>
      <c r="H286" s="1677"/>
      <c r="I286" s="1677"/>
      <c r="J286" s="1677"/>
      <c r="K286" s="1677"/>
      <c r="L286" s="1677"/>
      <c r="M286" s="1677"/>
      <c r="N286" s="1677"/>
      <c r="O286" s="1677"/>
      <c r="P286" s="1677"/>
    </row>
    <row r="287" spans="1:66" ht="18" customHeight="1" x14ac:dyDescent="0.3">
      <c r="C287" s="1652" t="s">
        <v>3249</v>
      </c>
      <c r="D287" s="1652"/>
      <c r="E287" s="1652"/>
      <c r="F287" s="1652"/>
      <c r="G287" s="1652"/>
      <c r="H287" s="1652"/>
      <c r="I287" s="1652"/>
      <c r="J287" s="1652"/>
      <c r="K287" s="1652"/>
      <c r="L287" s="1652"/>
      <c r="M287" s="1652"/>
      <c r="N287" s="1652"/>
      <c r="O287" s="1652"/>
      <c r="P287" s="1652"/>
    </row>
    <row r="288" spans="1:66" ht="25" customHeight="1" x14ac:dyDescent="0.3">
      <c r="B288" s="555"/>
      <c r="C288" s="907" t="s">
        <v>189</v>
      </c>
      <c r="D288" s="1582">
        <f>IFERROR('3. Financial Inputs'!B52,"")</f>
        <v>0.55101827676240211</v>
      </c>
      <c r="E288" s="520"/>
      <c r="F288" s="521"/>
      <c r="G288" s="1211"/>
      <c r="H288" s="1211"/>
      <c r="J288" s="1211"/>
    </row>
    <row r="289" spans="2:16" ht="26" customHeight="1" x14ac:dyDescent="0.3">
      <c r="B289" s="555"/>
      <c r="C289" s="907" t="s">
        <v>2197</v>
      </c>
      <c r="D289" s="908">
        <f>SUM(D291:D390)</f>
        <v>766000</v>
      </c>
      <c r="E289" s="908"/>
      <c r="F289" s="908">
        <f>SUM(F291:F390)</f>
        <v>343920</v>
      </c>
      <c r="G289" s="398"/>
      <c r="H289" s="398"/>
      <c r="K289" s="714"/>
      <c r="M289" s="1349">
        <f>SUM(M291:M346)</f>
        <v>6940</v>
      </c>
    </row>
    <row r="290" spans="2:16" ht="45" customHeight="1" x14ac:dyDescent="0.3">
      <c r="C290" s="712" t="s">
        <v>237</v>
      </c>
      <c r="D290" s="1396" t="s">
        <v>3320</v>
      </c>
      <c r="E290" s="1397" t="s">
        <v>110</v>
      </c>
      <c r="F290" s="1397" t="s">
        <v>239</v>
      </c>
      <c r="G290" s="884"/>
      <c r="H290" s="884"/>
      <c r="I290" s="1397" t="s">
        <v>2168</v>
      </c>
      <c r="K290" s="800" t="s">
        <v>175</v>
      </c>
      <c r="L290" s="1398" t="s">
        <v>2324</v>
      </c>
      <c r="M290" s="800" t="s">
        <v>103</v>
      </c>
      <c r="N290" s="800" t="s">
        <v>2264</v>
      </c>
      <c r="P290" s="1577"/>
    </row>
    <row r="291" spans="2:16" ht="14" customHeight="1" x14ac:dyDescent="0.3">
      <c r="C291" s="1353" t="str">
        <f t="shared" ref="C291:C322" si="86">IF(K48="","",K48)</f>
        <v>Data Analyst</v>
      </c>
      <c r="D291" s="917">
        <f>IFERROR(IF($L291="Enter Override $",(IF($E$26="Select Type","Select Margin Class",IF($E$26="Standard Rates",I291*M291,IF($E$26="Client Custom Rates",K291*M291)))),L291*M291),"")</f>
        <v>192000</v>
      </c>
      <c r="E291" s="909"/>
      <c r="F291" s="909" cm="1">
        <f t="array" ref="F291">IFERROR(IF($E$20="Credera US",_xlfn.XLOOKUP($O48,'Rates &amp; Drop Downs INT'!F:F,'Rates &amp; Drop Downs INT'!G:G)*M291,IF($C48="TADNorthAmerica",SUMPRODUCT(('Rates &amp; Drop Downs INT'!$CG$6:$CG$708=$D48)*('Rates &amp; Drop Downs INT'!$CI$6:$CI$708=$F48)*('Rates &amp; Drop Downs INT'!$CK$6:$CK$708=$K48)*('Rates &amp; Drop Downs INT'!$CQ$6:$CQ$708))*M291,SUMPRODUCT(('Rates &amp; Drop Downs INT'!$CG$6:$CG$708=$D48)*('Rates &amp; Drop Downs INT'!$CI$6:$CI$708=$F48)*('Rates &amp; Drop Downs INT'!$CK$6:$CK$708=$K48)*('Rates &amp; Drop Downs INT'!$CT$6:$CT$708))*M291)),0)</f>
        <v>102000</v>
      </c>
      <c r="G291" s="910"/>
      <c r="H291" s="910"/>
      <c r="I291" s="909" cm="1">
        <f t="array" ref="I291">IF($E$20="Credera US",IF(L291&lt;&gt;"Enter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160</v>
      </c>
      <c r="K291" s="909" cm="1">
        <f t="array" ref="K291">IF($E$20&lt;&gt;"Credera US",0,IF(L291&lt;&gt;"Enter Override $","",IFERROR(IF($D$26&lt;&gt;"Client Custom Rates",0,INDEX('Client Rate Cards'!E:E,MATCH(1,('Client Rate Cards'!B:B='2. Roles &amp; Pricing'!$D$27)*('Client Rate Cards'!D:D='2. Roles &amp; Pricing'!T48),0))),0)))</f>
        <v>0</v>
      </c>
      <c r="L291" s="1351" t="s">
        <v>3688</v>
      </c>
      <c r="M291" s="911">
        <f t="shared" ref="M291:M322" si="87">IF(SUM(E170:BM170)=0,"",SUM(E170:BM170))</f>
        <v>1200</v>
      </c>
      <c r="N291" s="912">
        <f t="shared" ref="N291:N322" si="88">IF(COUNTIF($D170:$BC170,"&gt;0")=0,"",COUNTIF($D170:$BC170,"&gt;0"))</f>
        <v>30</v>
      </c>
      <c r="O291" s="803"/>
      <c r="P291" s="803"/>
    </row>
    <row r="292" spans="2:16" ht="14" customHeight="1" x14ac:dyDescent="0.3">
      <c r="C292" s="1352" t="str">
        <f t="shared" si="86"/>
        <v>Data Analyst</v>
      </c>
      <c r="D292" s="918">
        <f>IFERROR(IF($L292="",(IF($E$26="Select Type","Select Margin Class",IF($E$26="Standard Rates",I292*M292,IF($E$26="Client Custom Rates",K292*M292)))),L292*M292),"")</f>
        <v>48400</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15840</v>
      </c>
      <c r="G292" s="885" t="str">
        <f>IF(M292&lt;&gt;"","",IF($E$26="Select Type","Select Margin Class",IFERROR(IF($O49="",0,IF($E$26="Client Custom Rates",0,IF($E$26="Standard Rates",_xlfn.XLOOKUP($O49,'Rates &amp; Drop Downs INT'!$F:$F,'Rates &amp; Drop Downs INT'!J:J)))),0)))</f>
        <v/>
      </c>
      <c r="H292" s="885"/>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55</v>
      </c>
      <c r="K292" s="885" cm="1">
        <f t="array" ref="K292">IF($E$20&lt;&gt;"Credera US",0,IF(L292&lt;&gt;"","",IFERROR(IF($D$26&lt;&gt;"Client Custom Rates",0,INDEX('Client Rate Cards'!E:E,MATCH(1,('Client Rate Cards'!B:B='2. Roles &amp; Pricing'!$D$27)*('Client Rate Cards'!D:D='2. Roles &amp; Pricing'!T49),0))),0)))</f>
        <v>0</v>
      </c>
      <c r="L292" s="1350"/>
      <c r="M292" s="887">
        <f t="shared" si="87"/>
        <v>880</v>
      </c>
      <c r="N292" s="913">
        <f t="shared" si="88"/>
        <v>22</v>
      </c>
    </row>
    <row r="293" spans="2:16" ht="14" customHeight="1" x14ac:dyDescent="0.3">
      <c r="C293" s="1352" t="str">
        <f t="shared" si="86"/>
        <v>UX Designer</v>
      </c>
      <c r="D293" s="918">
        <f t="shared" ref="D293:D356" si="89">IFERROR(IF($L293="",(IF($E$26="Select Type","Select Margin Class",IF($E$26="Standard Rates",I293*M293,IF($E$26="Client Custom Rates",K293*M293)))),L293*M293),"")</f>
        <v>204000</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84000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170</v>
      </c>
      <c r="K293" s="885" cm="1">
        <f t="array" ref="K293">IF($E$20&lt;&gt;"Credera US",0,IF(L293&lt;&gt;"","",IFERROR(IF($D$26&lt;&gt;"Client Custom Rates",0,INDEX('Client Rate Cards'!E:E,MATCH(1,('Client Rate Cards'!B:B='2. Roles &amp; Pricing'!$D$27)*('Client Rate Cards'!D:D='2. Roles &amp; Pricing'!T50),0))),0)))</f>
        <v>0</v>
      </c>
      <c r="L293" s="1350"/>
      <c r="M293" s="887">
        <f t="shared" si="87"/>
        <v>1200</v>
      </c>
      <c r="N293" s="913">
        <f t="shared" si="88"/>
        <v>30</v>
      </c>
    </row>
    <row r="294" spans="2:16" ht="14" customHeight="1" x14ac:dyDescent="0.3">
      <c r="C294" s="1352" t="str">
        <f t="shared" si="86"/>
        <v>UX Designer</v>
      </c>
      <c r="D294" s="918">
        <f t="shared" si="89"/>
        <v>66000</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21600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55</v>
      </c>
      <c r="K294" s="885" cm="1">
        <f t="array" ref="K294">IF($E$20&lt;&gt;"Credera US",0,IF(L294&lt;&gt;"","",IFERROR(IF($D$26&lt;&gt;"Client Custom Rates",0,INDEX('Client Rate Cards'!E:E,MATCH(1,('Client Rate Cards'!B:B='2. Roles &amp; Pricing'!$D$27)*('Client Rate Cards'!D:D='2. Roles &amp; Pricing'!T51),0))),0)))</f>
        <v>0</v>
      </c>
      <c r="L294" s="1350"/>
      <c r="M294" s="887">
        <f t="shared" si="87"/>
        <v>1200</v>
      </c>
      <c r="N294" s="913">
        <f t="shared" si="88"/>
        <v>30</v>
      </c>
    </row>
    <row r="295" spans="2:16" ht="14" customHeight="1" x14ac:dyDescent="0.3">
      <c r="C295" s="1352" t="str">
        <f t="shared" si="86"/>
        <v>Technical Lead</v>
      </c>
      <c r="D295" s="918">
        <f t="shared" si="89"/>
        <v>222000</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108000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185</v>
      </c>
      <c r="K295" s="885" cm="1">
        <f t="array" ref="K295">IF($E$20&lt;&gt;"Credera US",0,IF(L295&lt;&gt;"","",IFERROR(IF($D$26&lt;&gt;"Client Custom Rates",0,INDEX('Client Rate Cards'!E:E,MATCH(1,('Client Rate Cards'!B:B='2. Roles &amp; Pricing'!$D$27)*('Client Rate Cards'!D:D='2. Roles &amp; Pricing'!T52),0))),0)))</f>
        <v>0</v>
      </c>
      <c r="L295" s="1350"/>
      <c r="M295" s="887">
        <f>IF(SUM(E174:BM174)=0,"",SUM(E174:BM174))</f>
        <v>1200</v>
      </c>
      <c r="N295" s="913">
        <f t="shared" si="88"/>
        <v>30</v>
      </c>
    </row>
    <row r="296" spans="2:16" ht="14" customHeight="1" x14ac:dyDescent="0.3">
      <c r="C296" s="1352" t="str">
        <f t="shared" si="86"/>
        <v>Associate DevOps Engineer</v>
      </c>
      <c r="D296" s="918">
        <f t="shared" si="89"/>
        <v>33600</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12480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35</v>
      </c>
      <c r="K296" s="885" cm="1">
        <f t="array" ref="K296">IF($E$20&lt;&gt;"Credera US",0,IF(L296&lt;&gt;"","",IFERROR(IF($D$26&lt;&gt;"Client Custom Rates",0,INDEX('Client Rate Cards'!E:E,MATCH(1,('Client Rate Cards'!B:B='2. Roles &amp; Pricing'!$D$27)*('Client Rate Cards'!D:D='2. Roles &amp; Pricing'!T53),0))),0)))</f>
        <v>0</v>
      </c>
      <c r="L296" s="1350"/>
      <c r="M296" s="887">
        <f t="shared" si="87"/>
        <v>960</v>
      </c>
      <c r="N296" s="913">
        <f t="shared" si="88"/>
        <v>30</v>
      </c>
    </row>
    <row r="297" spans="2:16" ht="14" customHeight="1" x14ac:dyDescent="0.3">
      <c r="C297" s="1352" t="str">
        <f t="shared" si="86"/>
        <v/>
      </c>
      <c r="D297" s="918">
        <f t="shared" si="89"/>
        <v>0</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f t="shared" si="87"/>
        <v>300</v>
      </c>
      <c r="N297" s="913">
        <f t="shared" si="88"/>
        <v>30</v>
      </c>
    </row>
    <row r="298" spans="2:16" ht="14" customHeight="1" x14ac:dyDescent="0.3">
      <c r="C298" s="1352" t="str">
        <f t="shared" si="86"/>
        <v/>
      </c>
      <c r="D298" s="918" t="str">
        <f t="shared" si="89"/>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7"/>
        <v/>
      </c>
      <c r="N298" s="913" t="str">
        <f t="shared" si="88"/>
        <v/>
      </c>
    </row>
    <row r="299" spans="2:16" ht="14" customHeight="1" x14ac:dyDescent="0.3">
      <c r="C299" s="1352" t="str">
        <f t="shared" si="86"/>
        <v/>
      </c>
      <c r="D299" s="918" t="str">
        <f t="shared" si="89"/>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7"/>
        <v/>
      </c>
      <c r="N299" s="913" t="str">
        <f t="shared" si="88"/>
        <v/>
      </c>
    </row>
    <row r="300" spans="2:16" ht="14" customHeight="1" x14ac:dyDescent="0.3">
      <c r="C300" s="1352" t="str">
        <f t="shared" si="86"/>
        <v/>
      </c>
      <c r="D300" s="918" t="str">
        <f t="shared" si="89"/>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7"/>
        <v/>
      </c>
      <c r="N300" s="913" t="str">
        <f t="shared" si="88"/>
        <v/>
      </c>
    </row>
    <row r="301" spans="2:16" ht="14" customHeight="1" x14ac:dyDescent="0.3">
      <c r="C301" s="1352" t="str">
        <f t="shared" si="86"/>
        <v/>
      </c>
      <c r="D301" s="918" t="str">
        <f t="shared" si="89"/>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7"/>
        <v/>
      </c>
      <c r="N301" s="913" t="str">
        <f t="shared" si="88"/>
        <v/>
      </c>
    </row>
    <row r="302" spans="2:16" ht="14" customHeight="1" x14ac:dyDescent="0.3">
      <c r="C302" s="1352" t="str">
        <f t="shared" si="86"/>
        <v/>
      </c>
      <c r="D302" s="918" t="str">
        <f t="shared" si="89"/>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7"/>
        <v/>
      </c>
      <c r="N302" s="913" t="str">
        <f t="shared" si="88"/>
        <v/>
      </c>
    </row>
    <row r="303" spans="2:16" ht="14" customHeight="1" x14ac:dyDescent="0.3">
      <c r="C303" s="1352" t="str">
        <f t="shared" si="86"/>
        <v/>
      </c>
      <c r="D303" s="918" t="str">
        <f t="shared" si="89"/>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7"/>
        <v/>
      </c>
      <c r="N303" s="913" t="str">
        <f t="shared" si="88"/>
        <v/>
      </c>
    </row>
    <row r="304" spans="2:16" ht="14" customHeight="1" x14ac:dyDescent="0.3">
      <c r="C304" s="1352" t="str">
        <f t="shared" si="86"/>
        <v/>
      </c>
      <c r="D304" s="918" t="str">
        <f t="shared" si="89"/>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7"/>
        <v/>
      </c>
      <c r="N304" s="913" t="str">
        <f t="shared" si="88"/>
        <v/>
      </c>
    </row>
    <row r="305" spans="3:14" ht="14" customHeight="1" x14ac:dyDescent="0.3">
      <c r="C305" s="1352" t="str">
        <f t="shared" si="86"/>
        <v/>
      </c>
      <c r="D305" s="918" t="str">
        <f t="shared" si="89"/>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7"/>
        <v/>
      </c>
      <c r="N305" s="913" t="str">
        <f t="shared" si="88"/>
        <v/>
      </c>
    </row>
    <row r="306" spans="3:14" ht="14" customHeight="1" x14ac:dyDescent="0.3">
      <c r="C306" s="1352" t="str">
        <f t="shared" si="86"/>
        <v/>
      </c>
      <c r="D306" s="918" t="str">
        <f t="shared" si="89"/>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7"/>
        <v/>
      </c>
      <c r="N306" s="913" t="str">
        <f t="shared" si="88"/>
        <v/>
      </c>
    </row>
    <row r="307" spans="3:14" ht="14" customHeight="1" x14ac:dyDescent="0.3">
      <c r="C307" s="1352" t="str">
        <f t="shared" si="86"/>
        <v/>
      </c>
      <c r="D307" s="918" t="str">
        <f t="shared" si="89"/>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7"/>
        <v/>
      </c>
      <c r="N307" s="913" t="str">
        <f t="shared" si="88"/>
        <v/>
      </c>
    </row>
    <row r="308" spans="3:14" ht="14" customHeight="1" x14ac:dyDescent="0.3">
      <c r="C308" s="1352" t="str">
        <f t="shared" si="86"/>
        <v/>
      </c>
      <c r="D308" s="918" t="str">
        <f t="shared" si="89"/>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7"/>
        <v/>
      </c>
      <c r="N308" s="913" t="str">
        <f t="shared" si="88"/>
        <v/>
      </c>
    </row>
    <row r="309" spans="3:14" ht="14" customHeight="1" x14ac:dyDescent="0.3">
      <c r="C309" s="1352" t="str">
        <f t="shared" si="86"/>
        <v/>
      </c>
      <c r="D309" s="918" t="str">
        <f t="shared" si="89"/>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7"/>
        <v/>
      </c>
      <c r="N309" s="913" t="str">
        <f t="shared" si="88"/>
        <v/>
      </c>
    </row>
    <row r="310" spans="3:14" ht="14" customHeight="1" x14ac:dyDescent="0.3">
      <c r="C310" s="1352" t="str">
        <f t="shared" si="86"/>
        <v/>
      </c>
      <c r="D310" s="918" t="str">
        <f t="shared" si="89"/>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7"/>
        <v/>
      </c>
      <c r="N310" s="913" t="str">
        <f t="shared" si="88"/>
        <v/>
      </c>
    </row>
    <row r="311" spans="3:14" ht="14" customHeight="1" x14ac:dyDescent="0.3">
      <c r="C311" s="1352" t="str">
        <f t="shared" si="86"/>
        <v/>
      </c>
      <c r="D311" s="918" t="str">
        <f t="shared" si="89"/>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7"/>
        <v/>
      </c>
      <c r="N311" s="913" t="str">
        <f t="shared" si="88"/>
        <v/>
      </c>
    </row>
    <row r="312" spans="3:14" ht="14" customHeight="1" x14ac:dyDescent="0.3">
      <c r="C312" s="1352" t="str">
        <f t="shared" si="86"/>
        <v/>
      </c>
      <c r="D312" s="918" t="str">
        <f t="shared" si="89"/>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7"/>
        <v/>
      </c>
      <c r="N312" s="913" t="str">
        <f t="shared" si="88"/>
        <v/>
      </c>
    </row>
    <row r="313" spans="3:14" ht="14" customHeight="1" x14ac:dyDescent="0.3">
      <c r="C313" s="1352" t="str">
        <f t="shared" si="86"/>
        <v/>
      </c>
      <c r="D313" s="918" t="str">
        <f t="shared" si="89"/>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7"/>
        <v/>
      </c>
      <c r="N313" s="913" t="str">
        <f t="shared" si="88"/>
        <v/>
      </c>
    </row>
    <row r="314" spans="3:14" ht="14" customHeight="1" x14ac:dyDescent="0.3">
      <c r="C314" s="1352" t="str">
        <f t="shared" si="86"/>
        <v/>
      </c>
      <c r="D314" s="918" t="str">
        <f t="shared" si="89"/>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7"/>
        <v/>
      </c>
      <c r="N314" s="913" t="str">
        <f t="shared" si="88"/>
        <v/>
      </c>
    </row>
    <row r="315" spans="3:14" ht="14" customHeight="1" x14ac:dyDescent="0.3">
      <c r="C315" s="1352" t="str">
        <f t="shared" si="86"/>
        <v/>
      </c>
      <c r="D315" s="918" t="str">
        <f t="shared" si="89"/>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7"/>
        <v/>
      </c>
      <c r="N315" s="913" t="str">
        <f t="shared" si="88"/>
        <v/>
      </c>
    </row>
    <row r="316" spans="3:14" ht="14" hidden="1" customHeight="1" outlineLevel="2" x14ac:dyDescent="0.3">
      <c r="C316" s="1352" t="str">
        <f t="shared" si="86"/>
        <v/>
      </c>
      <c r="D316" s="918" t="str">
        <f t="shared" si="89"/>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si="87"/>
        <v/>
      </c>
      <c r="N316" s="913" t="str">
        <f t="shared" si="88"/>
        <v/>
      </c>
    </row>
    <row r="317" spans="3:14" ht="14" hidden="1" customHeight="1" outlineLevel="2" x14ac:dyDescent="0.3">
      <c r="C317" s="1352" t="str">
        <f t="shared" si="86"/>
        <v/>
      </c>
      <c r="D317" s="918" t="str">
        <f t="shared" si="89"/>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87"/>
        <v/>
      </c>
      <c r="N317" s="913" t="str">
        <f t="shared" si="88"/>
        <v/>
      </c>
    </row>
    <row r="318" spans="3:14" ht="14" hidden="1" customHeight="1" outlineLevel="2" x14ac:dyDescent="0.3">
      <c r="C318" s="1352" t="str">
        <f t="shared" si="86"/>
        <v/>
      </c>
      <c r="D318" s="918" t="str">
        <f t="shared" si="89"/>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87"/>
        <v/>
      </c>
      <c r="N318" s="913" t="str">
        <f t="shared" si="88"/>
        <v/>
      </c>
    </row>
    <row r="319" spans="3:14" ht="14" hidden="1" customHeight="1" outlineLevel="2" x14ac:dyDescent="0.3">
      <c r="C319" s="1352" t="str">
        <f t="shared" si="86"/>
        <v/>
      </c>
      <c r="D319" s="918" t="str">
        <f t="shared" si="89"/>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87"/>
        <v/>
      </c>
      <c r="N319" s="913" t="str">
        <f t="shared" si="88"/>
        <v/>
      </c>
    </row>
    <row r="320" spans="3:14" ht="14" hidden="1" customHeight="1" outlineLevel="2" x14ac:dyDescent="0.3">
      <c r="C320" s="1352" t="str">
        <f t="shared" si="86"/>
        <v/>
      </c>
      <c r="D320" s="918" t="str">
        <f t="shared" si="89"/>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87"/>
        <v/>
      </c>
      <c r="N320" s="913" t="str">
        <f t="shared" si="88"/>
        <v/>
      </c>
    </row>
    <row r="321" spans="3:14" ht="14" hidden="1" customHeight="1" outlineLevel="2" x14ac:dyDescent="0.3">
      <c r="C321" s="1352" t="str">
        <f t="shared" si="86"/>
        <v/>
      </c>
      <c r="D321" s="918" t="str">
        <f t="shared" si="89"/>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87"/>
        <v/>
      </c>
      <c r="N321" s="913" t="str">
        <f t="shared" si="88"/>
        <v/>
      </c>
    </row>
    <row r="322" spans="3:14" ht="14" hidden="1" customHeight="1" outlineLevel="2" x14ac:dyDescent="0.3">
      <c r="C322" s="1352" t="str">
        <f t="shared" si="86"/>
        <v/>
      </c>
      <c r="D322" s="918" t="str">
        <f t="shared" si="89"/>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87"/>
        <v/>
      </c>
      <c r="N322" s="913" t="str">
        <f t="shared" si="88"/>
        <v/>
      </c>
    </row>
    <row r="323" spans="3:14" ht="14" hidden="1" customHeight="1" outlineLevel="2" x14ac:dyDescent="0.3">
      <c r="C323" s="1352" t="str">
        <f t="shared" ref="C323:C354" si="90">IF(K80="","",K80)</f>
        <v/>
      </c>
      <c r="D323" s="918" t="str">
        <f t="shared" si="89"/>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ref="M323:M354" si="91">IF(SUM(E202:BM202)=0,"",SUM(E202:BM202))</f>
        <v/>
      </c>
      <c r="N323" s="913" t="str">
        <f t="shared" ref="N323:N346" si="92">IF(COUNTIF($D202:$BC202,"&gt;0")=0,"",COUNTIF($D202:$BC202,"&gt;0"))</f>
        <v/>
      </c>
    </row>
    <row r="324" spans="3:14" ht="14" hidden="1" customHeight="1" outlineLevel="2" x14ac:dyDescent="0.3">
      <c r="C324" s="1352" t="str">
        <f t="shared" si="90"/>
        <v/>
      </c>
      <c r="D324" s="918" t="str">
        <f t="shared" si="89"/>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9"/>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9"/>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9"/>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9"/>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9"/>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9"/>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9"/>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9"/>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9"/>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9"/>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9"/>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 t="shared" si="90"/>
        <v/>
      </c>
      <c r="D336" s="918" t="str">
        <f t="shared" si="89"/>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 t="shared" si="90"/>
        <v/>
      </c>
      <c r="D337" s="918" t="str">
        <f t="shared" si="89"/>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913" t="str">
        <f t="shared" si="92"/>
        <v/>
      </c>
    </row>
    <row r="338" spans="3:15" ht="14" hidden="1" customHeight="1" outlineLevel="2" x14ac:dyDescent="0.3">
      <c r="C338" s="1352" t="str">
        <f t="shared" si="90"/>
        <v/>
      </c>
      <c r="D338" s="918" t="str">
        <f t="shared" si="89"/>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913" t="str">
        <f t="shared" si="92"/>
        <v/>
      </c>
    </row>
    <row r="339" spans="3:15" ht="14" hidden="1" customHeight="1" outlineLevel="2" x14ac:dyDescent="0.3">
      <c r="C339" s="1352" t="str">
        <f t="shared" si="90"/>
        <v/>
      </c>
      <c r="D339" s="918" t="str">
        <f t="shared" si="89"/>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913" t="str">
        <f t="shared" si="92"/>
        <v/>
      </c>
    </row>
    <row r="340" spans="3:15" ht="14" hidden="1" customHeight="1" outlineLevel="2" x14ac:dyDescent="0.3">
      <c r="C340" s="1352" t="str">
        <f t="shared" si="90"/>
        <v/>
      </c>
      <c r="D340" s="918" t="str">
        <f t="shared" si="89"/>
        <v/>
      </c>
      <c r="E340" s="885"/>
      <c r="F340" s="885"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6"/>
      <c r="H340" s="886"/>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887" t="str">
        <f t="shared" si="91"/>
        <v/>
      </c>
      <c r="N340" s="913" t="str">
        <f t="shared" si="92"/>
        <v/>
      </c>
    </row>
    <row r="341" spans="3:15" ht="14" hidden="1" customHeight="1" outlineLevel="2" x14ac:dyDescent="0.3">
      <c r="C341" s="1352" t="str">
        <f t="shared" si="90"/>
        <v/>
      </c>
      <c r="D341" s="918" t="str">
        <f t="shared" si="89"/>
        <v/>
      </c>
      <c r="E341" s="885"/>
      <c r="F341" s="885"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6"/>
      <c r="H341" s="886"/>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887" t="str">
        <f t="shared" si="91"/>
        <v/>
      </c>
      <c r="N341" s="913" t="str">
        <f t="shared" si="92"/>
        <v/>
      </c>
    </row>
    <row r="342" spans="3:15" ht="14" hidden="1" customHeight="1" outlineLevel="2" x14ac:dyDescent="0.3">
      <c r="C342" s="1352" t="str">
        <f t="shared" si="90"/>
        <v/>
      </c>
      <c r="D342" s="918" t="str">
        <f t="shared" si="89"/>
        <v/>
      </c>
      <c r="E342" s="885"/>
      <c r="F342" s="885"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6"/>
      <c r="H342" s="886"/>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887" t="str">
        <f t="shared" si="91"/>
        <v/>
      </c>
      <c r="N342" s="913" t="str">
        <f t="shared" si="92"/>
        <v/>
      </c>
    </row>
    <row r="343" spans="3:15" ht="14" hidden="1" customHeight="1" outlineLevel="2" x14ac:dyDescent="0.3">
      <c r="C343" s="1352" t="str">
        <f>IF(K100="","",K100)</f>
        <v/>
      </c>
      <c r="D343" s="918" t="str">
        <f t="shared" si="89"/>
        <v/>
      </c>
      <c r="E343" s="885"/>
      <c r="F343" s="885"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6"/>
      <c r="H343" s="886"/>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887" t="str">
        <f t="shared" si="91"/>
        <v/>
      </c>
      <c r="N343" s="913" t="str">
        <f t="shared" si="92"/>
        <v/>
      </c>
    </row>
    <row r="344" spans="3:15" ht="14" hidden="1" customHeight="1" outlineLevel="2" x14ac:dyDescent="0.3">
      <c r="C344" s="1352" t="str">
        <f>IF(K101="","",K101)</f>
        <v/>
      </c>
      <c r="D344" s="918" t="str">
        <f t="shared" si="89"/>
        <v/>
      </c>
      <c r="E344" s="885"/>
      <c r="F344" s="885"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6"/>
      <c r="H344" s="886"/>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887" t="str">
        <f t="shared" si="91"/>
        <v/>
      </c>
      <c r="N344" s="1360" t="str">
        <f t="shared" si="92"/>
        <v/>
      </c>
    </row>
    <row r="345" spans="3:15" ht="14" hidden="1" customHeight="1" outlineLevel="2" x14ac:dyDescent="0.3">
      <c r="C345" s="1352" t="str">
        <f t="shared" si="90"/>
        <v/>
      </c>
      <c r="D345" s="918" t="str">
        <f t="shared" si="89"/>
        <v/>
      </c>
      <c r="E345" s="885"/>
      <c r="F345" s="885"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6"/>
      <c r="H345" s="886"/>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887" t="str">
        <f t="shared" si="91"/>
        <v/>
      </c>
      <c r="N345" s="1360" t="str">
        <f t="shared" si="92"/>
        <v/>
      </c>
    </row>
    <row r="346" spans="3:15" ht="14" customHeight="1" collapsed="1" x14ac:dyDescent="0.3">
      <c r="C346" s="1352" t="str">
        <f t="shared" si="90"/>
        <v/>
      </c>
      <c r="D346" s="918" t="str">
        <f t="shared" si="89"/>
        <v/>
      </c>
      <c r="E346" s="885"/>
      <c r="F346" s="885"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6"/>
      <c r="H346" s="886"/>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887" t="str">
        <f t="shared" si="91"/>
        <v/>
      </c>
      <c r="N346" s="1361" t="str">
        <f t="shared" si="92"/>
        <v/>
      </c>
    </row>
    <row r="347" spans="3:15" ht="14" hidden="1" customHeight="1" outlineLevel="1" x14ac:dyDescent="0.3">
      <c r="C347" s="1354" t="str">
        <f t="shared" si="90"/>
        <v/>
      </c>
      <c r="D347" s="918" t="str">
        <f t="shared" si="89"/>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0" t="str">
        <f t="shared" ref="N347:N390" si="93">IF(SUM(E226:BM226)=0,"",SUM(E226:BM226))</f>
        <v/>
      </c>
      <c r="O347" s="1359" t="str">
        <f t="shared" ref="O347:O390" si="94">IF(COUNTIF($D226:$BC226,"&gt;0")=0,"",COUNTIF($D226:$BC226,"&gt;0"))</f>
        <v/>
      </c>
    </row>
    <row r="348" spans="3:15" ht="14" hidden="1" customHeight="1" outlineLevel="1" x14ac:dyDescent="0.3">
      <c r="C348" s="1354" t="str">
        <f t="shared" si="90"/>
        <v/>
      </c>
      <c r="D348" s="918" t="str">
        <f t="shared" si="89"/>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si="91"/>
        <v/>
      </c>
      <c r="N348" s="1350" t="str">
        <f t="shared" si="93"/>
        <v/>
      </c>
      <c r="O348" s="1359" t="str">
        <f t="shared" si="94"/>
        <v/>
      </c>
    </row>
    <row r="349" spans="3:15" ht="14" hidden="1" customHeight="1" outlineLevel="1" x14ac:dyDescent="0.3">
      <c r="C349" s="1354" t="str">
        <f t="shared" si="90"/>
        <v/>
      </c>
      <c r="D349" s="918" t="str">
        <f t="shared" si="89"/>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1"/>
        <v/>
      </c>
      <c r="N349" s="1355" t="str">
        <f t="shared" si="93"/>
        <v/>
      </c>
      <c r="O349" s="1359" t="str">
        <f t="shared" si="94"/>
        <v/>
      </c>
    </row>
    <row r="350" spans="3:15" ht="14" hidden="1" customHeight="1" outlineLevel="1" x14ac:dyDescent="0.3">
      <c r="C350" s="1354" t="str">
        <f t="shared" si="90"/>
        <v/>
      </c>
      <c r="D350" s="918" t="str">
        <f t="shared" si="89"/>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1"/>
        <v/>
      </c>
      <c r="N350" s="1355" t="str">
        <f t="shared" si="93"/>
        <v/>
      </c>
      <c r="O350" s="1359" t="str">
        <f t="shared" si="94"/>
        <v/>
      </c>
    </row>
    <row r="351" spans="3:15" ht="14" hidden="1" customHeight="1" outlineLevel="1" x14ac:dyDescent="0.3">
      <c r="C351" s="1354" t="str">
        <f t="shared" si="90"/>
        <v/>
      </c>
      <c r="D351" s="918" t="str">
        <f t="shared" si="89"/>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1"/>
        <v/>
      </c>
      <c r="N351" s="1355" t="str">
        <f t="shared" si="93"/>
        <v/>
      </c>
      <c r="O351" s="1359" t="str">
        <f t="shared" si="94"/>
        <v/>
      </c>
    </row>
    <row r="352" spans="3:15" ht="14" hidden="1" customHeight="1" outlineLevel="1" x14ac:dyDescent="0.3">
      <c r="C352" s="1354" t="str">
        <f t="shared" si="90"/>
        <v/>
      </c>
      <c r="D352" s="918" t="str">
        <f t="shared" si="89"/>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1"/>
        <v/>
      </c>
      <c r="N352" s="1355" t="str">
        <f t="shared" si="93"/>
        <v/>
      </c>
      <c r="O352" s="1359" t="str">
        <f t="shared" si="94"/>
        <v/>
      </c>
    </row>
    <row r="353" spans="3:15" ht="14" hidden="1" customHeight="1" outlineLevel="1" x14ac:dyDescent="0.3">
      <c r="C353" s="1354" t="str">
        <f t="shared" si="90"/>
        <v/>
      </c>
      <c r="D353" s="918" t="str">
        <f t="shared" si="89"/>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1"/>
        <v/>
      </c>
      <c r="N353" s="1355" t="str">
        <f t="shared" si="93"/>
        <v/>
      </c>
      <c r="O353" s="1359" t="str">
        <f t="shared" si="94"/>
        <v/>
      </c>
    </row>
    <row r="354" spans="3:15" ht="14" hidden="1" customHeight="1" outlineLevel="1" x14ac:dyDescent="0.3">
      <c r="C354" s="1354" t="str">
        <f t="shared" si="90"/>
        <v/>
      </c>
      <c r="D354" s="918" t="str">
        <f t="shared" si="89"/>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1"/>
        <v/>
      </c>
      <c r="N354" s="1355" t="str">
        <f t="shared" si="93"/>
        <v/>
      </c>
      <c r="O354" s="1359" t="str">
        <f t="shared" si="94"/>
        <v/>
      </c>
    </row>
    <row r="355" spans="3:15" ht="14" hidden="1" customHeight="1" outlineLevel="1" x14ac:dyDescent="0.3">
      <c r="C355" s="1354" t="str">
        <f t="shared" ref="C355:C386" si="95">IF(K112="","",K112)</f>
        <v/>
      </c>
      <c r="D355" s="918" t="str">
        <f t="shared" si="89"/>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ref="M355:M386" si="96">IF(SUM(E234:BM234)=0,"",SUM(E234:BM234))</f>
        <v/>
      </c>
      <c r="N355" s="1355" t="str">
        <f t="shared" si="93"/>
        <v/>
      </c>
      <c r="O355" s="1359" t="str">
        <f t="shared" si="94"/>
        <v/>
      </c>
    </row>
    <row r="356" spans="3:15" ht="14" hidden="1" customHeight="1" outlineLevel="1" x14ac:dyDescent="0.3">
      <c r="C356" s="1354" t="str">
        <f t="shared" si="95"/>
        <v/>
      </c>
      <c r="D356" s="918" t="str">
        <f t="shared" si="89"/>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ref="D357:D390" si="97">IFERROR(IF($L357="",(IF($E$26="Select Type","Select Margin Class",IF($E$26="Standard Rates",I357*M357,IF($E$26="Client Custom Rates",K357*M357)))),L357*M357),"")</f>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3: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3: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3: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3: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3: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3: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3: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3: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3: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3: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3: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3:15" ht="14" hidden="1" customHeight="1" outlineLevel="1" x14ac:dyDescent="0.3">
      <c r="C380" s="1354" t="str">
        <f t="shared" si="95"/>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si="96"/>
        <v/>
      </c>
      <c r="N380" s="1355" t="str">
        <f t="shared" si="93"/>
        <v/>
      </c>
      <c r="O380" s="1359" t="str">
        <f t="shared" si="94"/>
        <v/>
      </c>
    </row>
    <row r="381" spans="3:15" ht="14" hidden="1" customHeight="1" outlineLevel="1" x14ac:dyDescent="0.3">
      <c r="C381" s="1354" t="str">
        <f t="shared" si="95"/>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6"/>
        <v/>
      </c>
      <c r="N381" s="1355" t="str">
        <f t="shared" si="93"/>
        <v/>
      </c>
      <c r="O381" s="1359" t="str">
        <f t="shared" si="94"/>
        <v/>
      </c>
    </row>
    <row r="382" spans="3:15" ht="14" hidden="1" customHeight="1" outlineLevel="1" x14ac:dyDescent="0.3">
      <c r="C382" s="1354" t="str">
        <f t="shared" si="95"/>
        <v/>
      </c>
      <c r="D382" s="918" t="str">
        <f t="shared" si="97"/>
        <v/>
      </c>
      <c r="E382" s="888"/>
      <c r="F382" s="888"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889"/>
      <c r="H382" s="889"/>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0" t="str">
        <f t="shared" si="96"/>
        <v/>
      </c>
      <c r="N382" s="1355" t="str">
        <f t="shared" si="93"/>
        <v/>
      </c>
      <c r="O382" s="1359" t="str">
        <f t="shared" si="94"/>
        <v/>
      </c>
    </row>
    <row r="383" spans="3:15" ht="14" hidden="1" customHeight="1" outlineLevel="1" x14ac:dyDescent="0.3">
      <c r="C383" s="1354" t="str">
        <f t="shared" si="95"/>
        <v/>
      </c>
      <c r="D383" s="918" t="str">
        <f t="shared" si="97"/>
        <v/>
      </c>
      <c r="E383" s="888"/>
      <c r="F383" s="888"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889"/>
      <c r="H383" s="889"/>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1350" t="str">
        <f t="shared" si="96"/>
        <v/>
      </c>
      <c r="N383" s="1355" t="str">
        <f t="shared" si="93"/>
        <v/>
      </c>
      <c r="O383" s="1359" t="str">
        <f t="shared" si="94"/>
        <v/>
      </c>
    </row>
    <row r="384" spans="3:15" ht="14" hidden="1" customHeight="1" outlineLevel="1" x14ac:dyDescent="0.3">
      <c r="C384" s="1354" t="str">
        <f t="shared" si="95"/>
        <v/>
      </c>
      <c r="D384" s="918" t="str">
        <f t="shared" si="97"/>
        <v/>
      </c>
      <c r="E384" s="888"/>
      <c r="F384" s="888" cm="1">
        <f t="array" ref="F384">IFERROR(IF($E$20="Credera US",_xlfn.XLOOKUP($O141,'Rates &amp; Drop Downs INT'!F:F,'Rates &amp; Drop Downs INT'!G:G)*M384,IF($C141="TADNorthAmerica",SUMPRODUCT(('Rates &amp; Drop Downs INT'!$CG$6:$CG$708=$D141)*('Rates &amp; Drop Downs INT'!$CI$6:$CI$708=$F141)*('Rates &amp; Drop Downs INT'!$CK$6:$CK$708=$K141)*('Rates &amp; Drop Downs INT'!$CQ$6:$CQ$708))*M384,SUMPRODUCT(('Rates &amp; Drop Downs INT'!$CG$6:$CG$708=$D141)*('Rates &amp; Drop Downs INT'!$CI$6:$CI$708=$F141)*('Rates &amp; Drop Downs INT'!$CK$6:$CK$708=$K141)*('Rates &amp; Drop Downs INT'!$CT$6:$CT$708))*M384)),0)</f>
        <v>0</v>
      </c>
      <c r="G384" s="889"/>
      <c r="H384" s="889"/>
      <c r="I384" s="885" cm="1">
        <f t="array" ref="I384">IF($E$20="TA Digital",IF($C141="TADNorthAmerica",SUMPRODUCT((TADIndia='2. Roles &amp; Pricing'!D141)*('Rates &amp; Drop Downs INT'!$CI$6:$CI$747='2. Roles &amp; Pricing'!F141)*('Rates &amp; Drop Downs INT'!$CK$6:$CK$747='2. Roles &amp; Pricing'!K141)*('Rates &amp; Drop Downs INT'!$CP$6:$CP$747)),SUMPRODUCT((TADIndia='2. Roles &amp; Pricing'!D141)*('Rates &amp; Drop Downs INT'!$CI$6:$CI$747='2. Roles &amp; Pricing'!F141)*('Rates &amp; Drop Downs INT'!$CK$6:$CK$747='2. Roles &amp; Pricing'!K141)*('Rates &amp; Drop Downs INT'!$CR$6:$CR$747))),IF(L384&lt;&gt;"","",IF($E$26="Select Type","Select Margin Class",IFERROR(IF($O141="",0,IF($E$26="Client Custom Rates",0,IF($E$26="Standard Rates",_xlfn.XLOOKUP($O141,'Rates &amp; Drop Downs INT'!$F:$F,'Rates &amp; Drop Downs INT'!I:I)))),0))))</f>
        <v>0</v>
      </c>
      <c r="K384" s="885" cm="1">
        <f t="array" ref="K384">IF($E$20&lt;&gt;"Credera US",0,IF(L384&lt;&gt;"","",IFERROR(IF($D$26&lt;&gt;"Client Custom Rates",0,INDEX('Client Rate Cards'!E:E,MATCH(1,('Client Rate Cards'!B:B='2. Roles &amp; Pricing'!$D$27)*('Client Rate Cards'!D:D='2. Roles &amp; Pricing'!T141),0))),0)))</f>
        <v>0</v>
      </c>
      <c r="L384" s="1350"/>
      <c r="M384" s="1350" t="str">
        <f t="shared" si="96"/>
        <v/>
      </c>
      <c r="N384" s="1355" t="str">
        <f t="shared" si="93"/>
        <v/>
      </c>
      <c r="O384" s="1359" t="str">
        <f t="shared" si="94"/>
        <v/>
      </c>
    </row>
    <row r="385" spans="2:37" ht="14" hidden="1" customHeight="1" outlineLevel="1" x14ac:dyDescent="0.3">
      <c r="C385" s="1354" t="str">
        <f t="shared" si="95"/>
        <v/>
      </c>
      <c r="D385" s="918" t="str">
        <f t="shared" si="97"/>
        <v/>
      </c>
      <c r="E385" s="888"/>
      <c r="F385" s="888" cm="1">
        <f t="array" ref="F385">IFERROR(IF($E$20="Credera US",_xlfn.XLOOKUP($O142,'Rates &amp; Drop Downs INT'!F:F,'Rates &amp; Drop Downs INT'!G:G)*M385,IF($C142="TADNorthAmerica",SUMPRODUCT(('Rates &amp; Drop Downs INT'!$CG$6:$CG$708=$D142)*('Rates &amp; Drop Downs INT'!$CI$6:$CI$708=$F142)*('Rates &amp; Drop Downs INT'!$CK$6:$CK$708=$K142)*('Rates &amp; Drop Downs INT'!$CQ$6:$CQ$708))*M385,SUMPRODUCT(('Rates &amp; Drop Downs INT'!$CG$6:$CG$708=$D142)*('Rates &amp; Drop Downs INT'!$CI$6:$CI$708=$F142)*('Rates &amp; Drop Downs INT'!$CK$6:$CK$708=$K142)*('Rates &amp; Drop Downs INT'!$CT$6:$CT$708))*M385)),0)</f>
        <v>0</v>
      </c>
      <c r="G385" s="889"/>
      <c r="H385" s="889"/>
      <c r="I385" s="885" cm="1">
        <f t="array" ref="I385">IF($E$20="TA Digital",IF($C142="TADNorthAmerica",SUMPRODUCT((TADIndia='2. Roles &amp; Pricing'!D142)*('Rates &amp; Drop Downs INT'!$CI$6:$CI$747='2. Roles &amp; Pricing'!F142)*('Rates &amp; Drop Downs INT'!$CK$6:$CK$747='2. Roles &amp; Pricing'!K142)*('Rates &amp; Drop Downs INT'!$CP$6:$CP$747)),SUMPRODUCT((TADIndia='2. Roles &amp; Pricing'!D142)*('Rates &amp; Drop Downs INT'!$CI$6:$CI$747='2. Roles &amp; Pricing'!F142)*('Rates &amp; Drop Downs INT'!$CK$6:$CK$747='2. Roles &amp; Pricing'!K142)*('Rates &amp; Drop Downs INT'!$CR$6:$CR$747))),IF(L385&lt;&gt;"","",IF($E$26="Select Type","Select Margin Class",IFERROR(IF($O142="",0,IF($E$26="Client Custom Rates",0,IF($E$26="Standard Rates",_xlfn.XLOOKUP($O142,'Rates &amp; Drop Downs INT'!$F:$F,'Rates &amp; Drop Downs INT'!I:I)))),0))))</f>
        <v>0</v>
      </c>
      <c r="K385" s="885" cm="1">
        <f t="array" ref="K385">IF($E$20&lt;&gt;"Credera US",0,IF(L385&lt;&gt;"","",IFERROR(IF($D$26&lt;&gt;"Client Custom Rates",0,INDEX('Client Rate Cards'!E:E,MATCH(1,('Client Rate Cards'!B:B='2. Roles &amp; Pricing'!$D$27)*('Client Rate Cards'!D:D='2. Roles &amp; Pricing'!T142),0))),0)))</f>
        <v>0</v>
      </c>
      <c r="L385" s="1350"/>
      <c r="M385" s="1350" t="str">
        <f t="shared" si="96"/>
        <v/>
      </c>
      <c r="N385" s="1355" t="str">
        <f t="shared" si="93"/>
        <v/>
      </c>
      <c r="O385" s="1359" t="str">
        <f t="shared" si="94"/>
        <v/>
      </c>
    </row>
    <row r="386" spans="2:37" ht="14" hidden="1" customHeight="1" outlineLevel="1" x14ac:dyDescent="0.3">
      <c r="C386" s="1354" t="str">
        <f t="shared" si="95"/>
        <v/>
      </c>
      <c r="D386" s="918" t="str">
        <f t="shared" si="97"/>
        <v/>
      </c>
      <c r="E386" s="888"/>
      <c r="F386" s="888" cm="1">
        <f t="array" ref="F386">IFERROR(IF($E$20="Credera US",_xlfn.XLOOKUP($O143,'Rates &amp; Drop Downs INT'!F:F,'Rates &amp; Drop Downs INT'!G:G)*M386,IF($C143="TADNorthAmerica",SUMPRODUCT(('Rates &amp; Drop Downs INT'!$CG$6:$CG$708=$D143)*('Rates &amp; Drop Downs INT'!$CI$6:$CI$708=$F143)*('Rates &amp; Drop Downs INT'!$CK$6:$CK$708=$K143)*('Rates &amp; Drop Downs INT'!$CQ$6:$CQ$708))*M386,SUMPRODUCT(('Rates &amp; Drop Downs INT'!$CG$6:$CG$708=$D143)*('Rates &amp; Drop Downs INT'!$CI$6:$CI$708=$F143)*('Rates &amp; Drop Downs INT'!$CK$6:$CK$708=$K143)*('Rates &amp; Drop Downs INT'!$CT$6:$CT$708))*M386)),0)</f>
        <v>0</v>
      </c>
      <c r="G386" s="889"/>
      <c r="H386" s="889"/>
      <c r="I386" s="885" cm="1">
        <f t="array" ref="I386">IF($E$20="TA Digital",IF($C143="TADNorthAmerica",SUMPRODUCT((TADIndia='2. Roles &amp; Pricing'!D143)*('Rates &amp; Drop Downs INT'!$CI$6:$CI$747='2. Roles &amp; Pricing'!F143)*('Rates &amp; Drop Downs INT'!$CK$6:$CK$747='2. Roles &amp; Pricing'!K143)*('Rates &amp; Drop Downs INT'!$CP$6:$CP$747)),SUMPRODUCT((TADIndia='2. Roles &amp; Pricing'!D143)*('Rates &amp; Drop Downs INT'!$CI$6:$CI$747='2. Roles &amp; Pricing'!F143)*('Rates &amp; Drop Downs INT'!$CK$6:$CK$747='2. Roles &amp; Pricing'!K143)*('Rates &amp; Drop Downs INT'!$CR$6:$CR$747))),IF(L386&lt;&gt;"","",IF($E$26="Select Type","Select Margin Class",IFERROR(IF($O143="",0,IF($E$26="Client Custom Rates",0,IF($E$26="Standard Rates",_xlfn.XLOOKUP($O143,'Rates &amp; Drop Downs INT'!$F:$F,'Rates &amp; Drop Downs INT'!I:I)))),0))))</f>
        <v>0</v>
      </c>
      <c r="K386" s="885" cm="1">
        <f t="array" ref="K386">IF($E$20&lt;&gt;"Credera US",0,IF(L386&lt;&gt;"","",IFERROR(IF($D$26&lt;&gt;"Client Custom Rates",0,INDEX('Client Rate Cards'!E:E,MATCH(1,('Client Rate Cards'!B:B='2. Roles &amp; Pricing'!$D$27)*('Client Rate Cards'!D:D='2. Roles &amp; Pricing'!T143),0))),0)))</f>
        <v>0</v>
      </c>
      <c r="L386" s="1350"/>
      <c r="M386" s="1350" t="str">
        <f t="shared" si="96"/>
        <v/>
      </c>
      <c r="N386" s="1355" t="str">
        <f t="shared" si="93"/>
        <v/>
      </c>
      <c r="O386" s="1359" t="str">
        <f t="shared" si="94"/>
        <v/>
      </c>
    </row>
    <row r="387" spans="2:37" ht="14" hidden="1" customHeight="1" outlineLevel="1" x14ac:dyDescent="0.3">
      <c r="C387" s="1354" t="str">
        <f t="shared" ref="C387:C390" si="98">IF(K144="","",K144)</f>
        <v/>
      </c>
      <c r="D387" s="918" t="str">
        <f t="shared" si="97"/>
        <v/>
      </c>
      <c r="E387" s="888"/>
      <c r="F387" s="888" cm="1">
        <f t="array" ref="F387">IFERROR(IF($E$20="Credera US",_xlfn.XLOOKUP($O144,'Rates &amp; Drop Downs INT'!F:F,'Rates &amp; Drop Downs INT'!G:G)*M387,IF($C144="TADNorthAmerica",SUMPRODUCT(('Rates &amp; Drop Downs INT'!$CG$6:$CG$708=$D144)*('Rates &amp; Drop Downs INT'!$CI$6:$CI$708=$F144)*('Rates &amp; Drop Downs INT'!$CK$6:$CK$708=$K144)*('Rates &amp; Drop Downs INT'!$CQ$6:$CQ$708))*M387,SUMPRODUCT(('Rates &amp; Drop Downs INT'!$CG$6:$CG$708=$D144)*('Rates &amp; Drop Downs INT'!$CI$6:$CI$708=$F144)*('Rates &amp; Drop Downs INT'!$CK$6:$CK$708=$K144)*('Rates &amp; Drop Downs INT'!$CT$6:$CT$708))*M387)),0)</f>
        <v>0</v>
      </c>
      <c r="G387" s="889"/>
      <c r="H387" s="889"/>
      <c r="I387" s="885" cm="1">
        <f t="array" ref="I387">IF($E$20="TA Digital",IF($C144="TADNorthAmerica",SUMPRODUCT((TADIndia='2. Roles &amp; Pricing'!D144)*('Rates &amp; Drop Downs INT'!$CI$6:$CI$747='2. Roles &amp; Pricing'!F144)*('Rates &amp; Drop Downs INT'!$CK$6:$CK$747='2. Roles &amp; Pricing'!K144)*('Rates &amp; Drop Downs INT'!$CP$6:$CP$747)),SUMPRODUCT((TADIndia='2. Roles &amp; Pricing'!D144)*('Rates &amp; Drop Downs INT'!$CI$6:$CI$747='2. Roles &amp; Pricing'!F144)*('Rates &amp; Drop Downs INT'!$CK$6:$CK$747='2. Roles &amp; Pricing'!K144)*('Rates &amp; Drop Downs INT'!$CR$6:$CR$747))),IF(L387&lt;&gt;"","",IF($E$26="Select Type","Select Margin Class",IFERROR(IF($O144="",0,IF($E$26="Client Custom Rates",0,IF($E$26="Standard Rates",_xlfn.XLOOKUP($O144,'Rates &amp; Drop Downs INT'!$F:$F,'Rates &amp; Drop Downs INT'!I:I)))),0))))</f>
        <v>0</v>
      </c>
      <c r="K387" s="885" cm="1">
        <f t="array" ref="K387">IF($E$20&lt;&gt;"Credera US",0,IF(L387&lt;&gt;"","",IFERROR(IF($D$26&lt;&gt;"Client Custom Rates",0,INDEX('Client Rate Cards'!E:E,MATCH(1,('Client Rate Cards'!B:B='2. Roles &amp; Pricing'!$D$27)*('Client Rate Cards'!D:D='2. Roles &amp; Pricing'!T144),0))),0)))</f>
        <v>0</v>
      </c>
      <c r="L387" s="1350"/>
      <c r="M387" s="1350" t="str">
        <f t="shared" ref="M387:M390" si="99">IF(SUM(E266:BM266)=0,"",SUM(E266:BM266))</f>
        <v/>
      </c>
      <c r="N387" s="1355" t="str">
        <f t="shared" si="93"/>
        <v/>
      </c>
      <c r="O387" s="1359" t="str">
        <f t="shared" si="94"/>
        <v/>
      </c>
    </row>
    <row r="388" spans="2:37" ht="14" hidden="1" customHeight="1" outlineLevel="1" x14ac:dyDescent="0.3">
      <c r="C388" s="1354" t="str">
        <f t="shared" si="98"/>
        <v/>
      </c>
      <c r="D388" s="918" t="str">
        <f t="shared" si="97"/>
        <v/>
      </c>
      <c r="E388" s="888"/>
      <c r="F388" s="888" cm="1">
        <f t="array" ref="F388">IFERROR(IF($E$20="Credera US",_xlfn.XLOOKUP($O145,'Rates &amp; Drop Downs INT'!F:F,'Rates &amp; Drop Downs INT'!G:G)*M388,IF($C145="TADNorthAmerica",SUMPRODUCT(('Rates &amp; Drop Downs INT'!$CG$6:$CG$708=$D145)*('Rates &amp; Drop Downs INT'!$CI$6:$CI$708=$F145)*('Rates &amp; Drop Downs INT'!$CK$6:$CK$708=$K145)*('Rates &amp; Drop Downs INT'!$CQ$6:$CQ$708))*M388,SUMPRODUCT(('Rates &amp; Drop Downs INT'!$CG$6:$CG$708=$D145)*('Rates &amp; Drop Downs INT'!$CI$6:$CI$708=$F145)*('Rates &amp; Drop Downs INT'!$CK$6:$CK$708=$K145)*('Rates &amp; Drop Downs INT'!$CT$6:$CT$708))*M388)),0)</f>
        <v>0</v>
      </c>
      <c r="G388" s="889"/>
      <c r="H388" s="889"/>
      <c r="I388" s="885" cm="1">
        <f t="array" ref="I388">IF($E$20="TA Digital",IF($C145="TADNorthAmerica",SUMPRODUCT((TADIndia='2. Roles &amp; Pricing'!D145)*('Rates &amp; Drop Downs INT'!$CI$6:$CI$747='2. Roles &amp; Pricing'!F145)*('Rates &amp; Drop Downs INT'!$CK$6:$CK$747='2. Roles &amp; Pricing'!K145)*('Rates &amp; Drop Downs INT'!$CP$6:$CP$747)),SUMPRODUCT((TADIndia='2. Roles &amp; Pricing'!D145)*('Rates &amp; Drop Downs INT'!$CI$6:$CI$747='2. Roles &amp; Pricing'!F145)*('Rates &amp; Drop Downs INT'!$CK$6:$CK$747='2. Roles &amp; Pricing'!K145)*('Rates &amp; Drop Downs INT'!$CR$6:$CR$747))),IF(L388&lt;&gt;"","",IF($E$26="Select Type","Select Margin Class",IFERROR(IF($O145="",0,IF($E$26="Client Custom Rates",0,IF($E$26="Standard Rates",_xlfn.XLOOKUP($O145,'Rates &amp; Drop Downs INT'!$F:$F,'Rates &amp; Drop Downs INT'!I:I)))),0))))</f>
        <v>0</v>
      </c>
      <c r="K388" s="885" cm="1">
        <f t="array" ref="K388">IF($E$20&lt;&gt;"Credera US",0,IF(L388&lt;&gt;"","",IFERROR(IF($D$26&lt;&gt;"Client Custom Rates",0,INDEX('Client Rate Cards'!E:E,MATCH(1,('Client Rate Cards'!B:B='2. Roles &amp; Pricing'!$D$27)*('Client Rate Cards'!D:D='2. Roles &amp; Pricing'!T145),0))),0)))</f>
        <v>0</v>
      </c>
      <c r="L388" s="1350"/>
      <c r="M388" s="1350" t="str">
        <f t="shared" si="99"/>
        <v/>
      </c>
      <c r="N388" s="1355" t="str">
        <f t="shared" si="93"/>
        <v/>
      </c>
      <c r="O388" s="1359" t="str">
        <f t="shared" si="94"/>
        <v/>
      </c>
    </row>
    <row r="389" spans="2:37" ht="14" hidden="1" customHeight="1" outlineLevel="1" x14ac:dyDescent="0.3">
      <c r="C389" s="1354" t="str">
        <f t="shared" si="98"/>
        <v/>
      </c>
      <c r="D389" s="918" t="str">
        <f t="shared" si="97"/>
        <v/>
      </c>
      <c r="E389" s="1363"/>
      <c r="F389" s="1363" cm="1">
        <f t="array" ref="F389">IFERROR(IF($E$20="Credera US",_xlfn.XLOOKUP($O146,'Rates &amp; Drop Downs INT'!F:F,'Rates &amp; Drop Downs INT'!G:G)*M389,IF($C146="TADNorthAmerica",SUMPRODUCT(('Rates &amp; Drop Downs INT'!$CG$6:$CG$708=$D146)*('Rates &amp; Drop Downs INT'!$CI$6:$CI$708=$F146)*('Rates &amp; Drop Downs INT'!$CK$6:$CK$708=$K146)*('Rates &amp; Drop Downs INT'!$CQ$6:$CQ$708))*M389,SUMPRODUCT(('Rates &amp; Drop Downs INT'!$CG$6:$CG$708=$D146)*('Rates &amp; Drop Downs INT'!$CI$6:$CI$708=$F146)*('Rates &amp; Drop Downs INT'!$CK$6:$CK$708=$K146)*('Rates &amp; Drop Downs INT'!$CT$6:$CT$708))*M389)),0)</f>
        <v>0</v>
      </c>
      <c r="G389" s="1364"/>
      <c r="H389" s="1364"/>
      <c r="I389" s="885" cm="1">
        <f t="array" ref="I389">IF($E$20="TA Digital",IF($C146="TADNorthAmerica",SUMPRODUCT((TADIndia='2. Roles &amp; Pricing'!D146)*('Rates &amp; Drop Downs INT'!$CI$6:$CI$747='2. Roles &amp; Pricing'!F146)*('Rates &amp; Drop Downs INT'!$CK$6:$CK$747='2. Roles &amp; Pricing'!K146)*('Rates &amp; Drop Downs INT'!$CP$6:$CP$747)),SUMPRODUCT((TADIndia='2. Roles &amp; Pricing'!D146)*('Rates &amp; Drop Downs INT'!$CI$6:$CI$747='2. Roles &amp; Pricing'!F146)*('Rates &amp; Drop Downs INT'!$CK$6:$CK$747='2. Roles &amp; Pricing'!K146)*('Rates &amp; Drop Downs INT'!$CR$6:$CR$747))),IF(L389&lt;&gt;"","",IF($E$26="Select Type","Select Margin Class",IFERROR(IF($O146="",0,IF($E$26="Client Custom Rates",0,IF($E$26="Standard Rates",_xlfn.XLOOKUP($O146,'Rates &amp; Drop Downs INT'!$F:$F,'Rates &amp; Drop Downs INT'!I:I)))),0))))</f>
        <v>0</v>
      </c>
      <c r="K389" s="885" cm="1">
        <f t="array" ref="K389">IF($E$20&lt;&gt;"Credera US",0,IF(L389&lt;&gt;"","",IFERROR(IF($D$26&lt;&gt;"Client Custom Rates",0,INDEX('Client Rate Cards'!E:E,MATCH(1,('Client Rate Cards'!B:B='2. Roles &amp; Pricing'!$D$27)*('Client Rate Cards'!D:D='2. Roles &amp; Pricing'!T146),0))),0)))</f>
        <v>0</v>
      </c>
      <c r="L389" s="1350"/>
      <c r="M389" s="1357" t="str">
        <f t="shared" si="99"/>
        <v/>
      </c>
      <c r="N389" s="1358" t="str">
        <f t="shared" si="93"/>
        <v/>
      </c>
      <c r="O389" s="1359" t="str">
        <f t="shared" si="94"/>
        <v/>
      </c>
    </row>
    <row r="390" spans="2:37" ht="14" hidden="1" customHeight="1" outlineLevel="1" x14ac:dyDescent="0.3">
      <c r="C390" s="1362" t="str">
        <f t="shared" si="98"/>
        <v/>
      </c>
      <c r="D390" s="918" t="str">
        <f t="shared" si="97"/>
        <v/>
      </c>
      <c r="E390" s="914"/>
      <c r="F390" s="914" cm="1">
        <f t="array" ref="F390">IFERROR(IF($E$20="Credera US",_xlfn.XLOOKUP($O147,'Rates &amp; Drop Downs INT'!F:F,'Rates &amp; Drop Downs INT'!G:G)*M390,IF($C147="TADNorthAmerica",SUMPRODUCT(('Rates &amp; Drop Downs INT'!$CG$6:$CG$708=$D147)*('Rates &amp; Drop Downs INT'!$CI$6:$CI$708=$F147)*('Rates &amp; Drop Downs INT'!$CK$6:$CK$708=$K147)*('Rates &amp; Drop Downs INT'!$CQ$6:$CQ$708))*M390,SUMPRODUCT(('Rates &amp; Drop Downs INT'!$CG$6:$CG$708=$D147)*('Rates &amp; Drop Downs INT'!$CI$6:$CI$708=$F147)*('Rates &amp; Drop Downs INT'!$CK$6:$CK$708=$K147)*('Rates &amp; Drop Downs INT'!$CT$6:$CT$708))*M390)),0)</f>
        <v>0</v>
      </c>
      <c r="G390" s="915"/>
      <c r="H390" s="1364"/>
      <c r="I390" s="885" cm="1">
        <f t="array" ref="I390">IF($E$20="TA Digital",IF($C147="TADNorthAmerica",SUMPRODUCT((TADIndia='2. Roles &amp; Pricing'!D147)*('Rates &amp; Drop Downs INT'!$CI$6:$CI$747='2. Roles &amp; Pricing'!F147)*('Rates &amp; Drop Downs INT'!$CK$6:$CK$747='2. Roles &amp; Pricing'!K147)*('Rates &amp; Drop Downs INT'!$CP$6:$CP$747)),SUMPRODUCT((TADIndia='2. Roles &amp; Pricing'!D147)*('Rates &amp; Drop Downs INT'!$CI$6:$CI$747='2. Roles &amp; Pricing'!F147)*('Rates &amp; Drop Downs INT'!$CK$6:$CK$747='2. Roles &amp; Pricing'!K147)*('Rates &amp; Drop Downs INT'!$CR$6:$CR$747))),IF(L390&lt;&gt;"","",IF($E$26="Select Type","Select Margin Class",IFERROR(IF($O147="",0,IF($E$26="Client Custom Rates",0,IF($E$26="Standard Rates",_xlfn.XLOOKUP($O147,'Rates &amp; Drop Downs INT'!$F:$F,'Rates &amp; Drop Downs INT'!I:I)))),0))))</f>
        <v>0</v>
      </c>
      <c r="K390" s="885" cm="1">
        <f t="array" ref="K390">IF($E$20&lt;&gt;"Credera US",0,IF(L390&lt;&gt;"","",IFERROR(IF($D$26&lt;&gt;"Client Custom Rates",0,INDEX('Client Rate Cards'!E:E,MATCH(1,('Client Rate Cards'!B:B='2. Roles &amp; Pricing'!$D$27)*('Client Rate Cards'!D:D='2. Roles &amp; Pricing'!T147),0))),0)))</f>
        <v>0</v>
      </c>
      <c r="L390" s="1350"/>
      <c r="M390" s="916" t="str">
        <f t="shared" si="99"/>
        <v/>
      </c>
      <c r="N390" s="1356" t="str">
        <f t="shared" si="93"/>
        <v/>
      </c>
      <c r="O390" s="1359" t="str">
        <f t="shared" si="94"/>
        <v/>
      </c>
    </row>
    <row r="391" spans="2:37" collapsed="1" x14ac:dyDescent="0.3">
      <c r="B391" s="395" t="s">
        <v>2235</v>
      </c>
      <c r="C391" s="522" t="s">
        <v>2238</v>
      </c>
      <c r="D391" s="398"/>
      <c r="F391" s="487"/>
      <c r="I391" s="487"/>
      <c r="K391" s="487"/>
      <c r="L391" s="487"/>
      <c r="M391" s="523"/>
    </row>
    <row r="392" spans="2:37" x14ac:dyDescent="0.3">
      <c r="D392" s="398"/>
      <c r="F392" s="487"/>
      <c r="I392" s="429"/>
      <c r="K392" s="487"/>
      <c r="L392" s="487"/>
      <c r="M392" s="523"/>
    </row>
    <row r="393" spans="2:37" ht="17.5" x14ac:dyDescent="0.3">
      <c r="C393" s="801" t="s">
        <v>3399</v>
      </c>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c r="AK393" s="403"/>
    </row>
    <row r="394" spans="2:37" x14ac:dyDescent="0.3">
      <c r="C394" s="1546" t="s">
        <v>3578</v>
      </c>
      <c r="D394" s="1546"/>
      <c r="E394" s="1546"/>
      <c r="F394" s="1546"/>
      <c r="G394" s="1546"/>
      <c r="H394" s="1546"/>
      <c r="I394" s="1546"/>
    </row>
    <row r="395" spans="2:37" ht="14" customHeight="1" x14ac:dyDescent="0.3">
      <c r="C395" s="1651" t="s">
        <v>3577</v>
      </c>
      <c r="D395" s="1651"/>
      <c r="E395" s="1651"/>
      <c r="F395" s="1651"/>
      <c r="G395" s="1651"/>
      <c r="H395" s="1651"/>
      <c r="I395" s="1651"/>
      <c r="J395" s="1651"/>
      <c r="K395" s="1651"/>
      <c r="L395" s="1651"/>
      <c r="M395" s="1651"/>
      <c r="N395" s="1651"/>
      <c r="O395" s="627"/>
    </row>
    <row r="396" spans="2:37" x14ac:dyDescent="0.3">
      <c r="C396" s="1651" t="s">
        <v>3224</v>
      </c>
      <c r="D396" s="1651"/>
      <c r="E396" s="1651"/>
      <c r="F396" s="1651"/>
      <c r="G396" s="1651"/>
      <c r="H396" s="1651"/>
      <c r="I396" s="1651"/>
      <c r="J396" s="1651"/>
      <c r="K396" s="1651"/>
      <c r="L396" s="1651"/>
      <c r="M396" s="1651"/>
      <c r="N396" s="1651"/>
      <c r="O396" s="1264"/>
    </row>
    <row r="397" spans="2:37" x14ac:dyDescent="0.3">
      <c r="C397" s="1651" t="s">
        <v>3398</v>
      </c>
      <c r="D397" s="1651"/>
      <c r="E397" s="1651"/>
      <c r="F397" s="1651"/>
      <c r="G397" s="1651"/>
      <c r="H397" s="1651"/>
      <c r="I397" s="1651"/>
      <c r="J397" s="1651"/>
      <c r="K397" s="1651"/>
      <c r="L397" s="1651"/>
      <c r="M397" s="1651"/>
      <c r="N397" s="1651"/>
      <c r="O397" s="1264"/>
    </row>
    <row r="398" spans="2:37" x14ac:dyDescent="0.3">
      <c r="C398" s="1228"/>
      <c r="D398" s="1228"/>
      <c r="E398" s="1228"/>
      <c r="F398" s="1228"/>
      <c r="G398" s="1228"/>
      <c r="H398" s="1228"/>
      <c r="I398" s="1228"/>
      <c r="J398" s="1228"/>
      <c r="K398" s="1228"/>
      <c r="L398" s="1228"/>
      <c r="M398" s="1228"/>
      <c r="N398" s="1228"/>
      <c r="O398" s="1228"/>
    </row>
    <row r="399" spans="2:37" ht="32" x14ac:dyDescent="0.3">
      <c r="C399" s="1581" t="s">
        <v>3579</v>
      </c>
      <c r="D399" s="1669" t="s">
        <v>101</v>
      </c>
      <c r="E399" s="1670"/>
      <c r="F399" s="1671"/>
      <c r="G399" s="1373"/>
      <c r="H399" s="1573"/>
      <c r="I399" s="1372"/>
    </row>
    <row r="400" spans="2:37" ht="33" customHeight="1" x14ac:dyDescent="0.3">
      <c r="C400" s="821" t="s">
        <v>102</v>
      </c>
      <c r="D400" s="1374" t="s">
        <v>213</v>
      </c>
      <c r="E400" s="1375" t="s">
        <v>2272</v>
      </c>
      <c r="F400" s="1375" t="s">
        <v>2273</v>
      </c>
      <c r="G400" s="1365"/>
      <c r="H400" s="1574"/>
      <c r="I400" s="1369"/>
    </row>
    <row r="401" spans="3:9" x14ac:dyDescent="0.3">
      <c r="C401" s="924" t="str" cm="1">
        <f t="array" ref="C401">IF(OR($D$399="No Approach Options Used",$D$399="Select Approach Option")=TRUE,'1. Project Inputs'!B38,IFERROR(INDEX('Optional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f>
        <v>[Enter Estimated Bucket 1]</v>
      </c>
      <c r="D401" s="925" t="str">
        <f>IF($D$399="Select Approach Option"," ",IF($D$399='1. Project Inputs'!$C$64,SUMIFS(TB.ScopeEstimation[WED],TB.ScopeEstimation[Bucket],C401,TB.ScopeEstimation[Option 1],"Yes"),IF($D$399='1. Project Inputs'!$C$65,SUMIFS(TB.ScopeEstimation[WED],TB.ScopeEstimation[Bucket],C401,TB.ScopeEstimation[Option 2],"Yes"),IF($D$399='1. Project Inputs'!$C$66,SUMIFS(TB.ScopeEstimation[WED],TB.ScopeEstimation[Bucket],C401,TB.ScopeEstimation[Option 3],"Yes"),IF($D$399="No Approach Options Used",SUMIFS(TB.ScopeEstimation[WED],TB.ScopeEstimation[Bucket],C401))))))</f>
        <v xml:space="preserve"> </v>
      </c>
      <c r="E401" s="926" t="str">
        <f t="shared" ref="E401:E420" si="100">IF(D401=" "," ",D401*8)</f>
        <v xml:space="preserve"> </v>
      </c>
      <c r="F401" s="927" t="str">
        <f t="shared" ref="F401:F420" si="101">IFERROR(IF(ISBLANK($AB$48),"No Buckets Used below",($E401-SUMIF($AB$48:$AB$147,$C401,$M$291:$M$390))),"")</f>
        <v>No Buckets Used below</v>
      </c>
      <c r="G401" s="1366"/>
      <c r="I401" s="1370"/>
    </row>
    <row r="402" spans="3:9" x14ac:dyDescent="0.3">
      <c r="C402" s="919" t="str" cm="1">
        <f t="array" ref="C402">IF(OR($D$399="No Approach Options Used",$D$399="Select Approach Option")=TRUE,'1. Project Inputs'!B39,IFERROR(INDEX('Optional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f>
        <v>[Enter Estimated Bucket 2]</v>
      </c>
      <c r="D402" s="925" t="str">
        <f>IF($D$399="Select Approach Option"," ",IF($D$399='1. Project Inputs'!$C$64,SUMIFS(TB.ScopeEstimation[WED],TB.ScopeEstimation[Bucket],C402,TB.ScopeEstimation[Option 1],"Yes"),IF($D$399='1. Project Inputs'!$C$65,SUMIFS(TB.ScopeEstimation[WED],TB.ScopeEstimation[Bucket],C402,TB.ScopeEstimation[Option 2],"Yes"),IF($D$399='1. Project Inputs'!$C$66,SUMIFS(TB.ScopeEstimation[WED],TB.ScopeEstimation[Bucket],C402,TB.ScopeEstimation[Option 3],"Yes"),IF($D$399="No Approach Options Used",SUMIFS(TB.ScopeEstimation[WED],TB.ScopeEstimation[Bucket],C402))))))</f>
        <v xml:space="preserve"> </v>
      </c>
      <c r="E402" s="926" t="str">
        <f t="shared" si="100"/>
        <v xml:space="preserve"> </v>
      </c>
      <c r="F402" s="927" t="str">
        <f t="shared" si="101"/>
        <v>No Buckets Used below</v>
      </c>
      <c r="G402" s="1367"/>
      <c r="I402" s="1370"/>
    </row>
    <row r="403" spans="3:9" x14ac:dyDescent="0.3">
      <c r="C403" s="919" t="str" cm="1">
        <f t="array" ref="C403">IF(OR($D$399="No Approach Options Used",$D$399="Select Approach Option")=TRUE,'1. Project Inputs'!B40,IFERROR(INDEX('Optional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Estimation'!$G$15)+1)))),ROW(A3))),""))</f>
        <v>[Enter Estimated Bucket 3]</v>
      </c>
      <c r="D403" s="925" t="str">
        <f>IF($D$399="Select Approach Option"," ",IF($D$399='1. Project Inputs'!$C$64,SUMIFS(TB.ScopeEstimation[WED],TB.ScopeEstimation[Bucket],C403,TB.ScopeEstimation[Option 1],"Yes"),IF($D$399='1. Project Inputs'!$C$65,SUMIFS(TB.ScopeEstimation[WED],TB.ScopeEstimation[Bucket],C403,TB.ScopeEstimation[Option 2],"Yes"),IF($D$399='1. Project Inputs'!$C$66,SUMIFS(TB.ScopeEstimation[WED],TB.ScopeEstimation[Bucket],C403,TB.ScopeEstimation[Option 3],"Yes"),IF($D$399="No Approach Options Used",SUMIFS(TB.ScopeEstimation[WED],TB.ScopeEstimation[Bucket],C403))))))</f>
        <v xml:space="preserve"> </v>
      </c>
      <c r="E403" s="926" t="str">
        <f t="shared" si="100"/>
        <v xml:space="preserve"> </v>
      </c>
      <c r="F403" s="927" t="str">
        <f t="shared" si="101"/>
        <v>No Buckets Used below</v>
      </c>
      <c r="G403" s="1367"/>
      <c r="I403" s="1370"/>
    </row>
    <row r="404" spans="3:9" x14ac:dyDescent="0.3">
      <c r="C404" s="919" t="str" cm="1">
        <f t="array" ref="C404">IF(OR($D$399="No Approach Options Used",$D$399="Select Approach Option")=TRUE,'1. Project Inputs'!B41,IFERROR(INDEX('Optional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Estimation'!$G$15)+1)))),ROW(A4))),""))</f>
        <v>[Enter Estimated Bucket 4]</v>
      </c>
      <c r="D404" s="925" t="str">
        <f>IF($D$399="Select Approach Option"," ",IF($D$399='1. Project Inputs'!$C$64,SUMIFS(TB.ScopeEstimation[WED],TB.ScopeEstimation[Bucket],C404,TB.ScopeEstimation[Option 1],"Yes"),IF($D$399='1. Project Inputs'!$C$65,SUMIFS(TB.ScopeEstimation[WED],TB.ScopeEstimation[Bucket],C404,TB.ScopeEstimation[Option 2],"Yes"),IF($D$399='1. Project Inputs'!$C$66,SUMIFS(TB.ScopeEstimation[WED],TB.ScopeEstimation[Bucket],C404,TB.ScopeEstimation[Option 3],"Yes"),IF($D$399="No Approach Options Used",SUMIFS(TB.ScopeEstimation[WED],TB.ScopeEstimation[Bucket],C404))))))</f>
        <v xml:space="preserve"> </v>
      </c>
      <c r="E404" s="926" t="str">
        <f t="shared" si="100"/>
        <v xml:space="preserve"> </v>
      </c>
      <c r="F404" s="927" t="str">
        <f t="shared" si="101"/>
        <v>No Buckets Used below</v>
      </c>
      <c r="G404" s="1367"/>
      <c r="I404" s="1370"/>
    </row>
    <row r="405" spans="3:9" x14ac:dyDescent="0.3">
      <c r="C405" s="919" t="str" cm="1">
        <f t="array" ref="C405">IF(OR($D$399="No Approach Options Used",$D$399="Select Approach Option")=TRUE,'1. Project Inputs'!B42,IFERROR(INDEX('Optional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Estimation'!$G$15)+1)))),ROW(A5))),""))</f>
        <v>[Enter Estimated Bucket 5]</v>
      </c>
      <c r="D405" s="925" t="str">
        <f>IF($D$399="Select Approach Option"," ",IF($D$399='1. Project Inputs'!$C$64,SUMIFS(TB.ScopeEstimation[WED],TB.ScopeEstimation[Bucket],C405,TB.ScopeEstimation[Option 1],"Yes"),IF($D$399='1. Project Inputs'!$C$65,SUMIFS(TB.ScopeEstimation[WED],TB.ScopeEstimation[Bucket],C405,TB.ScopeEstimation[Option 2],"Yes"),IF($D$399='1. Project Inputs'!$C$66,SUMIFS(TB.ScopeEstimation[WED],TB.ScopeEstimation[Bucket],C405,TB.ScopeEstimation[Option 3],"Yes"),IF($D$399="No Approach Options Used",SUMIFS(TB.ScopeEstimation[WED],TB.ScopeEstimation[Bucket],C405))))))</f>
        <v xml:space="preserve"> </v>
      </c>
      <c r="E405" s="926" t="str">
        <f t="shared" si="100"/>
        <v xml:space="preserve"> </v>
      </c>
      <c r="F405" s="927" t="str">
        <f t="shared" si="101"/>
        <v>No Buckets Used below</v>
      </c>
      <c r="G405" s="1367"/>
      <c r="I405" s="1370"/>
    </row>
    <row r="406" spans="3:9" x14ac:dyDescent="0.3">
      <c r="C406" s="919" t="str" cm="1">
        <f t="array" ref="C406">IF(OR($D$399="No Approach Options Used",$D$399="Select Approach Option")=TRUE,'1. Project Inputs'!B43,IFERROR(INDEX('Optional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Estimation'!$G$15)+1)))),ROW(A6))),""))</f>
        <v>[Enter Estimated Bucket 6]</v>
      </c>
      <c r="D406" s="925" t="str">
        <f>IF($D$399="Select Approach Option"," ",IF($D$399='1. Project Inputs'!$C$64,SUMIFS(TB.ScopeEstimation[WED],TB.ScopeEstimation[Bucket],C406,TB.ScopeEstimation[Option 1],"Yes"),IF($D$399='1. Project Inputs'!$C$65,SUMIFS(TB.ScopeEstimation[WED],TB.ScopeEstimation[Bucket],C406,TB.ScopeEstimation[Option 2],"Yes"),IF($D$399='1. Project Inputs'!$C$66,SUMIFS(TB.ScopeEstimation[WED],TB.ScopeEstimation[Bucket],C406,TB.ScopeEstimation[Option 3],"Yes"),IF($D$399="No Approach Options Used",SUMIFS(TB.ScopeEstimation[WED],TB.ScopeEstimation[Bucket],C406))))))</f>
        <v xml:space="preserve"> </v>
      </c>
      <c r="E406" s="926" t="str">
        <f t="shared" si="100"/>
        <v xml:space="preserve"> </v>
      </c>
      <c r="F406" s="927" t="str">
        <f t="shared" si="101"/>
        <v>No Buckets Used below</v>
      </c>
      <c r="G406" s="1367"/>
      <c r="I406" s="1370"/>
    </row>
    <row r="407" spans="3:9" x14ac:dyDescent="0.3">
      <c r="C407" s="919" t="str" cm="1">
        <f t="array" ref="C407">IF(OR($D$399="No Approach Options Used",$D$399="Select Approach Option")=TRUE,'1. Project Inputs'!B44,IFERROR(INDEX('Optional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Estimation'!$G$15)+1)))),ROW(A7))),""))</f>
        <v>[Enter Estimated Bucket 7]</v>
      </c>
      <c r="D407" s="925" t="str">
        <f>IF($D$399="Select Approach Option"," ",IF($D$399='1. Project Inputs'!$C$64,SUMIFS(TB.ScopeEstimation[WED],TB.ScopeEstimation[Bucket],C407,TB.ScopeEstimation[Option 1],"Yes"),IF($D$399='1. Project Inputs'!$C$65,SUMIFS(TB.ScopeEstimation[WED],TB.ScopeEstimation[Bucket],C407,TB.ScopeEstimation[Option 2],"Yes"),IF($D$399='1. Project Inputs'!$C$66,SUMIFS(TB.ScopeEstimation[WED],TB.ScopeEstimation[Bucket],C407,TB.ScopeEstimation[Option 3],"Yes"),IF($D$399="No Approach Options Used",SUMIFS(TB.ScopeEstimation[WED],TB.ScopeEstimation[Bucket],C407))))))</f>
        <v xml:space="preserve"> </v>
      </c>
      <c r="E407" s="926" t="str">
        <f t="shared" si="100"/>
        <v xml:space="preserve"> </v>
      </c>
      <c r="F407" s="927" t="str">
        <f t="shared" si="101"/>
        <v>No Buckets Used below</v>
      </c>
      <c r="G407" s="1367"/>
      <c r="I407" s="1370"/>
    </row>
    <row r="408" spans="3:9" x14ac:dyDescent="0.3">
      <c r="C408" s="919" t="str" cm="1">
        <f t="array" ref="C408">IF(OR($D$399="No Approach Options Used",$D$399="Select Approach Option")=TRUE,'1. Project Inputs'!B45,IFERROR(INDEX('Optional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Estimation'!$G$15)+1)))),ROW(A9))),""))</f>
        <v>[Enter Estimated Bucket 8]</v>
      </c>
      <c r="D408" s="925" t="str">
        <f>IF($D$399="Select Approach Option"," ",IF($D$399='1. Project Inputs'!$C$64,SUMIFS(TB.ScopeEstimation[WED],TB.ScopeEstimation[Bucket],C408,TB.ScopeEstimation[Option 1],"Yes"),IF($D$399='1. Project Inputs'!$C$65,SUMIFS(TB.ScopeEstimation[WED],TB.ScopeEstimation[Bucket],C408,TB.ScopeEstimation[Option 2],"Yes"),IF($D$399='1. Project Inputs'!$C$66,SUMIFS(TB.ScopeEstimation[WED],TB.ScopeEstimation[Bucket],C408,TB.ScopeEstimation[Option 3],"Yes"),IF($D$399="No Approach Options Used",SUMIFS(TB.ScopeEstimation[WED],TB.ScopeEstimation[Bucket],C408))))))</f>
        <v xml:space="preserve"> </v>
      </c>
      <c r="E408" s="926" t="str">
        <f t="shared" si="100"/>
        <v xml:space="preserve"> </v>
      </c>
      <c r="F408" s="927" t="str">
        <f t="shared" si="101"/>
        <v>No Buckets Used below</v>
      </c>
      <c r="G408" s="1367"/>
      <c r="I408" s="1370"/>
    </row>
    <row r="409" spans="3:9" x14ac:dyDescent="0.3">
      <c r="C409" s="919" t="str" cm="1">
        <f t="array" ref="C409">IF(OR($D$399="No Approach Options Used",$D$399="Select Approach Option")=TRUE,'1. Project Inputs'!B46,IFERROR(INDEX('Optional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9]</v>
      </c>
      <c r="D409" s="925" t="str">
        <f>IF($D$399="Select Approach Option"," ",IF($D$399='1. Project Inputs'!$C$64,SUMIFS(TB.ScopeEstimation[WED],TB.ScopeEstimation[Bucket],C409,TB.ScopeEstimation[Option 1],"Yes"),IF($D$399='1. Project Inputs'!$C$65,SUMIFS(TB.ScopeEstimation[WED],TB.ScopeEstimation[Bucket],C409,TB.ScopeEstimation[Option 2],"Yes"),IF($D$399='1. Project Inputs'!$C$66,SUMIFS(TB.ScopeEstimation[WED],TB.ScopeEstimation[Bucket],C409,TB.ScopeEstimation[Option 3],"Yes"),IF($D$399="No Approach Options Used",SUMIFS(TB.ScopeEstimation[WED],TB.ScopeEstimation[Bucket],C409))))))</f>
        <v xml:space="preserve"> </v>
      </c>
      <c r="E409" s="926" t="str">
        <f t="shared" si="100"/>
        <v xml:space="preserve"> </v>
      </c>
      <c r="F409" s="927" t="str">
        <f t="shared" si="101"/>
        <v>No Buckets Used below</v>
      </c>
      <c r="G409" s="1367"/>
      <c r="I409" s="1370"/>
    </row>
    <row r="410" spans="3:9" x14ac:dyDescent="0.3">
      <c r="C410" s="919" t="str" cm="1">
        <f t="array" ref="C410">IF(OR($D$399="No Approach Options Used",$D$399="Select Approach Option")=TRUE,'1. Project Inputs'!B47,IFERROR(INDEX('Optional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Estimation'!$G$15)+1)))),ROW(A11))),""))</f>
        <v>[Enter Estimated Bucket 10]</v>
      </c>
      <c r="D410" s="925" t="str">
        <f>IF($D$399="Select Approach Option"," ",IF($D$399='1. Project Inputs'!$C$64,SUMIFS(TB.ScopeEstimation[WED],TB.ScopeEstimation[Bucket],C410,TB.ScopeEstimation[Option 1],"Yes"),IF($D$399='1. Project Inputs'!$C$65,SUMIFS(TB.ScopeEstimation[WED],TB.ScopeEstimation[Bucket],C410,TB.ScopeEstimation[Option 2],"Yes"),IF($D$399='1. Project Inputs'!$C$66,SUMIFS(TB.ScopeEstimation[WED],TB.ScopeEstimation[Bucket],C410,TB.ScopeEstimation[Option 3],"Yes"),IF($D$399="No Approach Options Used",SUMIFS(TB.ScopeEstimation[WED],TB.ScopeEstimation[Bucket],C410))))))</f>
        <v xml:space="preserve"> </v>
      </c>
      <c r="E410" s="926" t="str">
        <f t="shared" si="100"/>
        <v xml:space="preserve"> </v>
      </c>
      <c r="F410" s="927" t="str">
        <f t="shared" si="101"/>
        <v>No Buckets Used below</v>
      </c>
      <c r="G410" s="1367"/>
      <c r="I410" s="1370"/>
    </row>
    <row r="411" spans="3:9" x14ac:dyDescent="0.3">
      <c r="C411" s="919" t="str" cm="1">
        <f t="array" ref="C411">IF(OR($D$399="No Approach Options Used",$D$399="Select Approach Option")=TRUE,'1. Project Inputs'!B48,IFERROR(INDEX('Optional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Estimation'!$G$15)+1)))),ROW(A13))),""))</f>
        <v>[Enter Estimated Bucket 11]</v>
      </c>
      <c r="D411" s="925" t="str">
        <f>IF($D$399="Select Approach Option"," ",IF($D$399='1. Project Inputs'!$C$64,SUMIFS(TB.ScopeEstimation[WED],TB.ScopeEstimation[Bucket],C411,TB.ScopeEstimation[Option 1],"Yes"),IF($D$399='1. Project Inputs'!$C$65,SUMIFS(TB.ScopeEstimation[WED],TB.ScopeEstimation[Bucket],C411,TB.ScopeEstimation[Option 2],"Yes"),IF($D$399='1. Project Inputs'!$C$66,SUMIFS(TB.ScopeEstimation[WED],TB.ScopeEstimation[Bucket],C411,TB.ScopeEstimation[Option 3],"Yes"),IF($D$399="No Approach Options Used",SUMIFS(TB.ScopeEstimation[WED],TB.ScopeEstimation[Bucket],C411))))))</f>
        <v xml:space="preserve"> </v>
      </c>
      <c r="E411" s="926" t="str">
        <f t="shared" si="100"/>
        <v xml:space="preserve"> </v>
      </c>
      <c r="F411" s="927" t="str">
        <f t="shared" si="101"/>
        <v>No Buckets Used below</v>
      </c>
      <c r="G411" s="1367"/>
      <c r="I411" s="1370"/>
    </row>
    <row r="412" spans="3:9" x14ac:dyDescent="0.3">
      <c r="C412" s="919" t="str" cm="1">
        <f t="array" ref="C412">IF(OR($D$399="No Approach Options Used",$D$399="Select Approach Option")=TRUE,'1. Project Inputs'!B49,IFERROR(INDEX('Optional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Estimation'!$G$15)+1)))),ROW(A14))),""))</f>
        <v>[Enter Estimated Bucket 12]</v>
      </c>
      <c r="D412" s="925" t="str">
        <f>IF($D$399="Select Approach Option"," ",IF($D$399='1. Project Inputs'!$C$64,SUMIFS(TB.ScopeEstimation[WED],TB.ScopeEstimation[Bucket],C412,TB.ScopeEstimation[Option 1],"Yes"),IF($D$399='1. Project Inputs'!$C$65,SUMIFS(TB.ScopeEstimation[WED],TB.ScopeEstimation[Bucket],C412,TB.ScopeEstimation[Option 2],"Yes"),IF($D$399='1. Project Inputs'!$C$66,SUMIFS(TB.ScopeEstimation[WED],TB.ScopeEstimation[Bucket],C412,TB.ScopeEstimation[Option 3],"Yes"),IF($D$399="No Approach Options Used",SUMIFS(TB.ScopeEstimation[WED],TB.ScopeEstimation[Bucket],C412))))))</f>
        <v xml:space="preserve"> </v>
      </c>
      <c r="E412" s="926" t="str">
        <f t="shared" si="100"/>
        <v xml:space="preserve"> </v>
      </c>
      <c r="F412" s="927" t="str">
        <f t="shared" si="101"/>
        <v>No Buckets Used below</v>
      </c>
      <c r="G412" s="1367"/>
      <c r="I412" s="1370"/>
    </row>
    <row r="413" spans="3:9" x14ac:dyDescent="0.3">
      <c r="C413" s="919" t="str" cm="1">
        <f t="array" ref="C413">IF(OR($D$399="No Approach Options Used",$D$399="Select Approach Option")=TRUE,'1. Project Inputs'!B50,IFERROR(INDEX('Optional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Estimation'!$G$15)+1)))),ROW(A15))),""))</f>
        <v>[Enter Estimated Bucket 13]</v>
      </c>
      <c r="D413" s="925" t="str">
        <f>IF($D$399="Select Approach Option"," ",IF($D$399='1. Project Inputs'!$C$64,SUMIFS(TB.ScopeEstimation[WED],TB.ScopeEstimation[Bucket],C413,TB.ScopeEstimation[Option 1],"Yes"),IF($D$399='1. Project Inputs'!$C$65,SUMIFS(TB.ScopeEstimation[WED],TB.ScopeEstimation[Bucket],C413,TB.ScopeEstimation[Option 2],"Yes"),IF($D$399='1. Project Inputs'!$C$66,SUMIFS(TB.ScopeEstimation[WED],TB.ScopeEstimation[Bucket],C413,TB.ScopeEstimation[Option 3],"Yes"),IF($D$399="No Approach Options Used",SUMIFS(TB.ScopeEstimation[WED],TB.ScopeEstimation[Bucket],C413))))))</f>
        <v xml:space="preserve"> </v>
      </c>
      <c r="E413" s="926" t="str">
        <f t="shared" si="100"/>
        <v xml:space="preserve"> </v>
      </c>
      <c r="F413" s="927" t="str">
        <f t="shared" si="101"/>
        <v>No Buckets Used below</v>
      </c>
      <c r="G413" s="1367"/>
      <c r="I413" s="1370"/>
    </row>
    <row r="414" spans="3:9" x14ac:dyDescent="0.3">
      <c r="C414" s="919" t="str" cm="1">
        <f t="array" ref="C414">IF(OR($D$399="No Approach Options Used",$D$399="Select Approach Option")=TRUE,'1. Project Inputs'!B51,IFERROR(INDEX('Optional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Estimation'!$G$15)+1)))),ROW(A16))),""))</f>
        <v>[Enter Estimated Bucket 14]</v>
      </c>
      <c r="D414" s="925" t="str">
        <f>IF($D$399="Select Approach Option"," ",IF($D$399='1. Project Inputs'!$C$64,SUMIFS(TB.ScopeEstimation[WED],TB.ScopeEstimation[Bucket],C414,TB.ScopeEstimation[Option 1],"Yes"),IF($D$399='1. Project Inputs'!$C$65,SUMIFS(TB.ScopeEstimation[WED],TB.ScopeEstimation[Bucket],C414,TB.ScopeEstimation[Option 2],"Yes"),IF($D$399='1. Project Inputs'!$C$66,SUMIFS(TB.ScopeEstimation[WED],TB.ScopeEstimation[Bucket],C414,TB.ScopeEstimation[Option 3],"Yes"),IF($D$399="No Approach Options Used",SUMIFS(TB.ScopeEstimation[WED],TB.ScopeEstimation[Bucket],C414))))))</f>
        <v xml:space="preserve"> </v>
      </c>
      <c r="E414" s="926" t="str">
        <f t="shared" si="100"/>
        <v xml:space="preserve"> </v>
      </c>
      <c r="F414" s="927" t="str">
        <f t="shared" si="101"/>
        <v>No Buckets Used below</v>
      </c>
      <c r="G414" s="1367"/>
      <c r="I414" s="1370"/>
    </row>
    <row r="415" spans="3:9" x14ac:dyDescent="0.3">
      <c r="C415" s="919" t="str" cm="1">
        <f t="array" ref="C415">IF(OR($D$399="No Approach Options Used",$D$399="Select Approach Option")=TRUE,'1. Project Inputs'!B52,IFERROR(INDEX('Optional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Estimation'!$G$15)+1)))),ROW(A17))),""))</f>
        <v>[Enter Estimated Bucket 15]</v>
      </c>
      <c r="D415" s="925" t="str">
        <f>IF($D$399="Select Approach Option"," ",IF($D$399='1. Project Inputs'!$C$64,SUMIFS(TB.ScopeEstimation[WED],TB.ScopeEstimation[Bucket],C415,TB.ScopeEstimation[Option 1],"Yes"),IF($D$399='1. Project Inputs'!$C$65,SUMIFS(TB.ScopeEstimation[WED],TB.ScopeEstimation[Bucket],C415,TB.ScopeEstimation[Option 2],"Yes"),IF($D$399='1. Project Inputs'!$C$66,SUMIFS(TB.ScopeEstimation[WED],TB.ScopeEstimation[Bucket],C415,TB.ScopeEstimation[Option 3],"Yes"),IF($D$399="No Approach Options Used",SUMIFS(TB.ScopeEstimation[WED],TB.ScopeEstimation[Bucket],C415))))))</f>
        <v xml:space="preserve"> </v>
      </c>
      <c r="E415" s="926" t="str">
        <f t="shared" si="100"/>
        <v xml:space="preserve"> </v>
      </c>
      <c r="F415" s="927" t="str">
        <f t="shared" si="101"/>
        <v>No Buckets Used below</v>
      </c>
      <c r="G415" s="1367"/>
      <c r="I415" s="1370"/>
    </row>
    <row r="416" spans="3:9" x14ac:dyDescent="0.3">
      <c r="C416" s="919" t="str" cm="1">
        <f t="array" ref="C416">IF(OR($D$399="No Approach Options Used",$D$399="Select Approach Option")=TRUE,'1. Project Inputs'!B53,IFERROR(INDEX('Optional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Estimation'!$G$15)+1)))),ROW(#REF!))),""))</f>
        <v>[Enter Estimated Bucket 16]</v>
      </c>
      <c r="D416" s="925" t="str">
        <f>IF($D$399="Select Approach Option"," ",IF($D$399='1. Project Inputs'!$C$64,SUMIFS(TB.ScopeEstimation[WED],TB.ScopeEstimation[Bucket],C416,TB.ScopeEstimation[Option 1],"Yes"),IF($D$399='1. Project Inputs'!$C$65,SUMIFS(TB.ScopeEstimation[WED],TB.ScopeEstimation[Bucket],C416,TB.ScopeEstimation[Option 2],"Yes"),IF($D$399='1. Project Inputs'!$C$66,SUMIFS(TB.ScopeEstimation[WED],TB.ScopeEstimation[Bucket],C416,TB.ScopeEstimation[Option 3],"Yes"),IF($D$399="No Approach Options Used",SUMIFS(TB.ScopeEstimation[WED],TB.ScopeEstimation[Bucket],C416))))))</f>
        <v xml:space="preserve"> </v>
      </c>
      <c r="E416" s="926" t="str">
        <f t="shared" si="100"/>
        <v xml:space="preserve"> </v>
      </c>
      <c r="F416" s="927" t="str">
        <f t="shared" si="101"/>
        <v>No Buckets Used below</v>
      </c>
      <c r="G416" s="1367"/>
      <c r="I416" s="1370"/>
    </row>
    <row r="417" spans="3:9" x14ac:dyDescent="0.3">
      <c r="C417" s="919" t="str" cm="1">
        <f t="array" ref="C417">IF(OR($D$399="No Approach Options Used",$D$399="Select Approach Option")=TRUE,'1. Project Inputs'!B54,IFERROR(INDEX('Optional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Estimation'!$G$15)+1)))),ROW(A18))),""))</f>
        <v>[Enter Estimated Bucket 17]</v>
      </c>
      <c r="D417" s="925" t="str">
        <f>IF($D$399="Select Approach Option"," ",IF($D$399='1. Project Inputs'!$C$64,SUMIFS(TB.ScopeEstimation[WED],TB.ScopeEstimation[Bucket],C417,TB.ScopeEstimation[Option 1],"Yes"),IF($D$399='1. Project Inputs'!$C$65,SUMIFS(TB.ScopeEstimation[WED],TB.ScopeEstimation[Bucket],C417,TB.ScopeEstimation[Option 2],"Yes"),IF($D$399='1. Project Inputs'!$C$66,SUMIFS(TB.ScopeEstimation[WED],TB.ScopeEstimation[Bucket],C417,TB.ScopeEstimation[Option 3],"Yes"),IF($D$399="No Approach Options Used",SUMIFS(TB.ScopeEstimation[WED],TB.ScopeEstimation[Bucket],C417))))))</f>
        <v xml:space="preserve"> </v>
      </c>
      <c r="E417" s="926" t="str">
        <f t="shared" si="100"/>
        <v xml:space="preserve"> </v>
      </c>
      <c r="F417" s="927" t="str">
        <f t="shared" si="101"/>
        <v>No Buckets Used below</v>
      </c>
      <c r="G417" s="1367"/>
      <c r="I417" s="1370"/>
    </row>
    <row r="418" spans="3:9" x14ac:dyDescent="0.3">
      <c r="C418" s="919" t="str" cm="1">
        <f t="array" ref="C418">IF(OR($D$399="No Approach Options Used",$D$399="Select Approach Option")=TRUE,'1. Project Inputs'!B55,IFERROR(INDEX('Optional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Estimation'!$G$15)+1)))),ROW(A19))),""))</f>
        <v>[Enter Estimated Bucket 18]</v>
      </c>
      <c r="D418" s="925" t="str">
        <f>IF($D$399="Select Approach Option"," ",IF($D$399='1. Project Inputs'!$C$64,SUMIFS(TB.ScopeEstimation[WED],TB.ScopeEstimation[Bucket],C418,TB.ScopeEstimation[Option 1],"Yes"),IF($D$399='1. Project Inputs'!$C$65,SUMIFS(TB.ScopeEstimation[WED],TB.ScopeEstimation[Bucket],C418,TB.ScopeEstimation[Option 2],"Yes"),IF($D$399='1. Project Inputs'!$C$66,SUMIFS(TB.ScopeEstimation[WED],TB.ScopeEstimation[Bucket],C418,TB.ScopeEstimation[Option 3],"Yes"),IF($D$399="No Approach Options Used",SUMIFS(TB.ScopeEstimation[WED],TB.ScopeEstimation[Bucket],C418))))))</f>
        <v xml:space="preserve"> </v>
      </c>
      <c r="E418" s="926" t="str">
        <f t="shared" si="100"/>
        <v xml:space="preserve"> </v>
      </c>
      <c r="F418" s="927" t="str">
        <f t="shared" si="101"/>
        <v>No Buckets Used below</v>
      </c>
      <c r="G418" s="1367"/>
      <c r="I418" s="1370"/>
    </row>
    <row r="419" spans="3:9" x14ac:dyDescent="0.3">
      <c r="C419" s="919" t="str" cm="1">
        <f t="array" ref="C419">IF(OR($D$399="No Approach Options Used",$D$399="Select Approach Option")=TRUE,'1. Project Inputs'!B56,IFERROR(INDEX('Optional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Estimation'!$G$15)+1)))),ROW(A20))),""))</f>
        <v>[Enter Estimated Bucket 19]</v>
      </c>
      <c r="D419" s="925" t="str">
        <f>IF($D$399="Select Approach Option"," ",IF($D$399='1. Project Inputs'!$C$64,SUMIFS(TB.ScopeEstimation[WED],TB.ScopeEstimation[Bucket],C419,TB.ScopeEstimation[Option 1],"Yes"),IF($D$399='1. Project Inputs'!$C$65,SUMIFS(TB.ScopeEstimation[WED],TB.ScopeEstimation[Bucket],C419,TB.ScopeEstimation[Option 2],"Yes"),IF($D$399='1. Project Inputs'!$C$66,SUMIFS(TB.ScopeEstimation[WED],TB.ScopeEstimation[Bucket],C419,TB.ScopeEstimation[Option 3],"Yes"),IF($D$399="No Approach Options Used",SUMIFS(TB.ScopeEstimation[WED],TB.ScopeEstimation[Bucket],C419))))))</f>
        <v xml:space="preserve"> </v>
      </c>
      <c r="E419" s="926" t="str">
        <f t="shared" si="100"/>
        <v xml:space="preserve"> </v>
      </c>
      <c r="F419" s="927" t="str">
        <f t="shared" si="101"/>
        <v>No Buckets Used below</v>
      </c>
      <c r="G419" s="1367"/>
      <c r="I419" s="1370"/>
    </row>
    <row r="420" spans="3:9" x14ac:dyDescent="0.3">
      <c r="C420" s="919" t="str" cm="1">
        <f t="array" ref="C420">IF(OR($D$399="No Approach Options Used",$D$399="Select Approach Option")=TRUE,'1. Project Inputs'!B57,IFERROR(INDEX('Optional - Scope Estimation'!$G$15:$G$26,SMALL(IF('2. Roles &amp; Pricing'!$D$399='1. Project Inputs'!$C$64,IF('Optional - Scope Estimation'!$H$15:$H$26="Yes",ROW('Optional - Scope Estimation'!$G$15:$G$26)-ROW('Optional - Scope Estimation'!$G$15)+1),IF('2. Roles &amp; Pricing'!$D$399='1. Project Inputs'!$C$65,IF('Optional - Scope Estimation'!$I$15:$I$26="Yes",ROW('Optional - Scope Estimation'!$G$15:$G$26)-ROW('Optional - Scope Estimation'!$G$15)+1),IF('2. Roles &amp; Pricing'!$D$399='1. Project Inputs'!$C$66,IF('Optional - Scope Estimation'!$J$15:$J$26="Yes",ROW('Optional - Scope Estimation'!$G$15:$G$26)-ROW('Optional - Scope Estimation'!$G$15)+1)))),ROW(A21))),""))</f>
        <v>[Enter Estimated Bucket 20]</v>
      </c>
      <c r="D420" s="925" t="str">
        <f>IF($D$399="Select Approach Option"," ",IF($D$399='1. Project Inputs'!$C$64,SUMIFS(TB.ScopeEstimation[WED],TB.ScopeEstimation[Bucket],C420,TB.ScopeEstimation[Option 1],"Yes"),IF($D$399='1. Project Inputs'!$C$65,SUMIFS(TB.ScopeEstimation[WED],TB.ScopeEstimation[Bucket],C420,TB.ScopeEstimation[Option 2],"Yes"),IF($D$399='1. Project Inputs'!$C$66,SUMIFS(TB.ScopeEstimation[WED],TB.ScopeEstimation[Bucket],C420,TB.ScopeEstimation[Option 3],"Yes"),IF($D$399="No Approach Options Used",SUMIFS(TB.ScopeEstimation[WED],TB.ScopeEstimation[Bucket],C420))))))</f>
        <v xml:space="preserve"> </v>
      </c>
      <c r="E420" s="926" t="str">
        <f t="shared" si="100"/>
        <v xml:space="preserve"> </v>
      </c>
      <c r="F420" s="927" t="str">
        <f t="shared" si="101"/>
        <v>No Buckets Used below</v>
      </c>
      <c r="G420" s="1367"/>
      <c r="I420" s="1370"/>
    </row>
    <row r="421" spans="3:9" x14ac:dyDescent="0.3">
      <c r="C421" s="920" t="s">
        <v>87</v>
      </c>
      <c r="D421" s="921">
        <f>SUM(D401:D420)</f>
        <v>0</v>
      </c>
      <c r="E421" s="922">
        <f>SUM(E401:E420)</f>
        <v>0</v>
      </c>
      <c r="F421" s="923">
        <f>SUM(F401:F420)</f>
        <v>0</v>
      </c>
      <c r="G421" s="1368"/>
      <c r="I421" s="1371"/>
    </row>
  </sheetData>
  <sheetProtection sort="0" autoFilter="0" pivotTables="0"/>
  <dataConsolidate/>
  <mergeCells count="595">
    <mergeCell ref="C164:D164"/>
    <mergeCell ref="C165:D165"/>
    <mergeCell ref="C18:D18"/>
    <mergeCell ref="C19:D19"/>
    <mergeCell ref="C20:D20"/>
    <mergeCell ref="C21:D21"/>
    <mergeCell ref="C22:D22"/>
    <mergeCell ref="C23:D23"/>
    <mergeCell ref="C24:D24"/>
    <mergeCell ref="C25:D25"/>
    <mergeCell ref="C26:D26"/>
    <mergeCell ref="C27:D27"/>
    <mergeCell ref="C28:D28"/>
    <mergeCell ref="C29:D29"/>
    <mergeCell ref="C30:D30"/>
    <mergeCell ref="C160:D160"/>
    <mergeCell ref="C161:D161"/>
    <mergeCell ref="C162:D162"/>
    <mergeCell ref="C163:D163"/>
    <mergeCell ref="C39:N39"/>
    <mergeCell ref="C41:N41"/>
    <mergeCell ref="C151:N151"/>
    <mergeCell ref="C36:N36"/>
    <mergeCell ref="C40:N40"/>
    <mergeCell ref="O146:S146"/>
    <mergeCell ref="O147:S147"/>
    <mergeCell ref="O131:S131"/>
    <mergeCell ref="O132:S132"/>
    <mergeCell ref="O133:S133"/>
    <mergeCell ref="O134:S134"/>
    <mergeCell ref="O135:S135"/>
    <mergeCell ref="O136:S136"/>
    <mergeCell ref="O137:S137"/>
    <mergeCell ref="O138:S138"/>
    <mergeCell ref="O139:S139"/>
    <mergeCell ref="O128:S128"/>
    <mergeCell ref="O129:S129"/>
    <mergeCell ref="O130:S130"/>
    <mergeCell ref="O140:S140"/>
    <mergeCell ref="O141:S141"/>
    <mergeCell ref="O142:S142"/>
    <mergeCell ref="O143:S143"/>
    <mergeCell ref="O144:S144"/>
    <mergeCell ref="O145:S145"/>
    <mergeCell ref="O119:S119"/>
    <mergeCell ref="O120:S120"/>
    <mergeCell ref="O121:S121"/>
    <mergeCell ref="O122:S122"/>
    <mergeCell ref="O123:S123"/>
    <mergeCell ref="O124:S124"/>
    <mergeCell ref="O125:S125"/>
    <mergeCell ref="O126:S126"/>
    <mergeCell ref="O127:S127"/>
    <mergeCell ref="O110:S110"/>
    <mergeCell ref="O111:S111"/>
    <mergeCell ref="O112:S112"/>
    <mergeCell ref="O113:S113"/>
    <mergeCell ref="O114:S114"/>
    <mergeCell ref="O115:S115"/>
    <mergeCell ref="O116:S116"/>
    <mergeCell ref="O117:S117"/>
    <mergeCell ref="O118:S118"/>
    <mergeCell ref="O101:S101"/>
    <mergeCell ref="O102:S102"/>
    <mergeCell ref="O103:S103"/>
    <mergeCell ref="O104:S104"/>
    <mergeCell ref="O105:S105"/>
    <mergeCell ref="O106:S106"/>
    <mergeCell ref="O107:S107"/>
    <mergeCell ref="O108:S108"/>
    <mergeCell ref="O109:S109"/>
    <mergeCell ref="O92:S92"/>
    <mergeCell ref="O93:S93"/>
    <mergeCell ref="O94:S94"/>
    <mergeCell ref="O95:S95"/>
    <mergeCell ref="O96:S96"/>
    <mergeCell ref="O97:S97"/>
    <mergeCell ref="O98:S98"/>
    <mergeCell ref="O99:S99"/>
    <mergeCell ref="O100:S100"/>
    <mergeCell ref="K142:M142"/>
    <mergeCell ref="K143:M143"/>
    <mergeCell ref="K144:M144"/>
    <mergeCell ref="K145:M145"/>
    <mergeCell ref="K146:M146"/>
    <mergeCell ref="K147:M147"/>
    <mergeCell ref="O57:S57"/>
    <mergeCell ref="O58:S58"/>
    <mergeCell ref="O59:S59"/>
    <mergeCell ref="O60:S60"/>
    <mergeCell ref="O61:S61"/>
    <mergeCell ref="O62:S62"/>
    <mergeCell ref="O63:S63"/>
    <mergeCell ref="O64:S64"/>
    <mergeCell ref="O65:S65"/>
    <mergeCell ref="O66:S66"/>
    <mergeCell ref="O67:S67"/>
    <mergeCell ref="O68:S68"/>
    <mergeCell ref="O69:S69"/>
    <mergeCell ref="O70:S70"/>
    <mergeCell ref="O71:S71"/>
    <mergeCell ref="O72:S72"/>
    <mergeCell ref="O73:S73"/>
    <mergeCell ref="O90:S90"/>
    <mergeCell ref="K133:M133"/>
    <mergeCell ref="K134:M134"/>
    <mergeCell ref="K135:M135"/>
    <mergeCell ref="K136:M136"/>
    <mergeCell ref="K137:M137"/>
    <mergeCell ref="K138:M138"/>
    <mergeCell ref="K139:M139"/>
    <mergeCell ref="K140:M140"/>
    <mergeCell ref="K141:M141"/>
    <mergeCell ref="K124:M124"/>
    <mergeCell ref="K125:M125"/>
    <mergeCell ref="K126:M126"/>
    <mergeCell ref="K127:M127"/>
    <mergeCell ref="K128:M128"/>
    <mergeCell ref="K129:M129"/>
    <mergeCell ref="K130:M130"/>
    <mergeCell ref="K131:M131"/>
    <mergeCell ref="K132:M132"/>
    <mergeCell ref="AH64:AI64"/>
    <mergeCell ref="AH65:AI65"/>
    <mergeCell ref="AC24:AF25"/>
    <mergeCell ref="C46:I46"/>
    <mergeCell ref="K108:M108"/>
    <mergeCell ref="C283:N283"/>
    <mergeCell ref="C396:N396"/>
    <mergeCell ref="C397:N397"/>
    <mergeCell ref="K99:M99"/>
    <mergeCell ref="K109:M109"/>
    <mergeCell ref="K110:M110"/>
    <mergeCell ref="K111:M111"/>
    <mergeCell ref="K112:M112"/>
    <mergeCell ref="K113:M113"/>
    <mergeCell ref="K114:M114"/>
    <mergeCell ref="K115:M115"/>
    <mergeCell ref="K116:M116"/>
    <mergeCell ref="K117:M117"/>
    <mergeCell ref="K118:M118"/>
    <mergeCell ref="K119:M119"/>
    <mergeCell ref="K120:M120"/>
    <mergeCell ref="K121:M121"/>
    <mergeCell ref="K122:M122"/>
    <mergeCell ref="K123:M123"/>
    <mergeCell ref="AH91:AI91"/>
    <mergeCell ref="AH92:AI92"/>
    <mergeCell ref="AH47:AI47"/>
    <mergeCell ref="AH77:AI77"/>
    <mergeCell ref="AH78:AI78"/>
    <mergeCell ref="AH49:AI49"/>
    <mergeCell ref="AH50:AI50"/>
    <mergeCell ref="AH51:AI51"/>
    <mergeCell ref="AH52:AI52"/>
    <mergeCell ref="AH53:AI53"/>
    <mergeCell ref="AH54:AI54"/>
    <mergeCell ref="AH60:AI60"/>
    <mergeCell ref="AH55:AI55"/>
    <mergeCell ref="AH56:AI56"/>
    <mergeCell ref="AH57:AI57"/>
    <mergeCell ref="AH58:AI58"/>
    <mergeCell ref="AH59:AI59"/>
    <mergeCell ref="AH61:AI61"/>
    <mergeCell ref="AH62:AI62"/>
    <mergeCell ref="AH63:AI63"/>
    <mergeCell ref="AH48:AI48"/>
    <mergeCell ref="AH74:AI74"/>
    <mergeCell ref="AH75:AI75"/>
    <mergeCell ref="AH76:AI76"/>
    <mergeCell ref="AH87:AI87"/>
    <mergeCell ref="AH88:AI88"/>
    <mergeCell ref="AH89:AI89"/>
    <mergeCell ref="AH90:AI90"/>
    <mergeCell ref="AH66:AI66"/>
    <mergeCell ref="AH67:AI67"/>
    <mergeCell ref="AH68:AI68"/>
    <mergeCell ref="AH69:AI69"/>
    <mergeCell ref="AH70:AI70"/>
    <mergeCell ref="AH71:AI71"/>
    <mergeCell ref="AH72:AI72"/>
    <mergeCell ref="AH79:AI79"/>
    <mergeCell ref="AH80:AI80"/>
    <mergeCell ref="AH81:AI81"/>
    <mergeCell ref="AH73:AI73"/>
    <mergeCell ref="AH82:AI82"/>
    <mergeCell ref="AH83:AI83"/>
    <mergeCell ref="AH84:AI84"/>
    <mergeCell ref="AH85:AI85"/>
    <mergeCell ref="AH86:AI86"/>
    <mergeCell ref="AC119:AD119"/>
    <mergeCell ref="AC120:AD120"/>
    <mergeCell ref="AC121:AD121"/>
    <mergeCell ref="AC122:AD122"/>
    <mergeCell ref="AH123:AI123"/>
    <mergeCell ref="AH124:AI124"/>
    <mergeCell ref="AC123:AD123"/>
    <mergeCell ref="AC124:AD124"/>
    <mergeCell ref="AH93:AI93"/>
    <mergeCell ref="AH94:AI94"/>
    <mergeCell ref="AH95:AI95"/>
    <mergeCell ref="AC110:AD110"/>
    <mergeCell ref="AC111:AD111"/>
    <mergeCell ref="AC112:AD112"/>
    <mergeCell ref="AC113:AD113"/>
    <mergeCell ref="AC114:AD114"/>
    <mergeCell ref="AC115:AD115"/>
    <mergeCell ref="AC116:AD116"/>
    <mergeCell ref="AC117:AD117"/>
    <mergeCell ref="AC118:AD118"/>
    <mergeCell ref="AH97:AI97"/>
    <mergeCell ref="AH98:AI98"/>
    <mergeCell ref="AH96:AI96"/>
    <mergeCell ref="AH105:AI105"/>
    <mergeCell ref="BX187:CA187"/>
    <mergeCell ref="BX186:BY186"/>
    <mergeCell ref="BZ186:CA186"/>
    <mergeCell ref="AH99:AI99"/>
    <mergeCell ref="AH111:AI111"/>
    <mergeCell ref="AH112:AI112"/>
    <mergeCell ref="AH113:AI113"/>
    <mergeCell ref="AH114:AI114"/>
    <mergeCell ref="AH115:AI115"/>
    <mergeCell ref="AH116:AI116"/>
    <mergeCell ref="AH117:AI117"/>
    <mergeCell ref="AH118:AI118"/>
    <mergeCell ref="AH119:AI119"/>
    <mergeCell ref="AH120:AI120"/>
    <mergeCell ref="AH121:AI121"/>
    <mergeCell ref="AH122:AI122"/>
    <mergeCell ref="AH108:AI108"/>
    <mergeCell ref="AH109:AI109"/>
    <mergeCell ref="AH110:AI110"/>
    <mergeCell ref="AH100:AI100"/>
    <mergeCell ref="AH101:AI101"/>
    <mergeCell ref="AH102:AI102"/>
    <mergeCell ref="AH103:AI103"/>
    <mergeCell ref="AH104:AI104"/>
    <mergeCell ref="AH106:AI106"/>
    <mergeCell ref="AH107:AI107"/>
    <mergeCell ref="AH125:AI125"/>
    <mergeCell ref="AH126:AI126"/>
    <mergeCell ref="AH127:AI127"/>
    <mergeCell ref="AH128:AI128"/>
    <mergeCell ref="AH129:AI129"/>
    <mergeCell ref="AH130:AI130"/>
    <mergeCell ref="AH131:AI131"/>
    <mergeCell ref="AH132:AI132"/>
    <mergeCell ref="AH133:AI133"/>
    <mergeCell ref="AH134:AI134"/>
    <mergeCell ref="AH144:AI144"/>
    <mergeCell ref="AH145:AI145"/>
    <mergeCell ref="AH146:AI146"/>
    <mergeCell ref="AH147:AI147"/>
    <mergeCell ref="AH135:AI135"/>
    <mergeCell ref="AH136:AI136"/>
    <mergeCell ref="AH137:AI137"/>
    <mergeCell ref="AH138:AI138"/>
    <mergeCell ref="AH139:AI139"/>
    <mergeCell ref="AH140:AI140"/>
    <mergeCell ref="AH141:AI141"/>
    <mergeCell ref="AH142:AI142"/>
    <mergeCell ref="AH143:AI143"/>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103:M103"/>
    <mergeCell ref="K104:M104"/>
    <mergeCell ref="K105:M105"/>
    <mergeCell ref="K106:M106"/>
    <mergeCell ref="K107:M107"/>
    <mergeCell ref="C3:D3"/>
    <mergeCell ref="O17:T17"/>
    <mergeCell ref="O74:S74"/>
    <mergeCell ref="O75:S75"/>
    <mergeCell ref="O76:S76"/>
    <mergeCell ref="O77:S77"/>
    <mergeCell ref="O78:S78"/>
    <mergeCell ref="O79:S79"/>
    <mergeCell ref="O80:S80"/>
    <mergeCell ref="O81:S81"/>
    <mergeCell ref="O82:S82"/>
    <mergeCell ref="O83:S83"/>
    <mergeCell ref="O84:S84"/>
    <mergeCell ref="O85:S85"/>
    <mergeCell ref="O86:S86"/>
    <mergeCell ref="O87:S87"/>
    <mergeCell ref="O88:S88"/>
    <mergeCell ref="O89:S89"/>
    <mergeCell ref="O91:S91"/>
    <mergeCell ref="K82:M82"/>
    <mergeCell ref="K83:M83"/>
    <mergeCell ref="K84:M84"/>
    <mergeCell ref="K85:M85"/>
    <mergeCell ref="K86:M86"/>
    <mergeCell ref="C154:N154"/>
    <mergeCell ref="K63:M63"/>
    <mergeCell ref="K64:M64"/>
    <mergeCell ref="K65:M65"/>
    <mergeCell ref="K66:M66"/>
    <mergeCell ref="K67:M67"/>
    <mergeCell ref="K68:M68"/>
    <mergeCell ref="K69:M69"/>
    <mergeCell ref="K70:M70"/>
    <mergeCell ref="K71:M71"/>
    <mergeCell ref="K72:M72"/>
    <mergeCell ref="K73:M73"/>
    <mergeCell ref="K74:M74"/>
    <mergeCell ref="K75:M75"/>
    <mergeCell ref="K76:M76"/>
    <mergeCell ref="K77:M77"/>
    <mergeCell ref="K100:M100"/>
    <mergeCell ref="K101:M101"/>
    <mergeCell ref="K102:M102"/>
    <mergeCell ref="O51:S51"/>
    <mergeCell ref="O52:S52"/>
    <mergeCell ref="T47:U47"/>
    <mergeCell ref="T48:U48"/>
    <mergeCell ref="T49:U49"/>
    <mergeCell ref="T50:U50"/>
    <mergeCell ref="T51:U51"/>
    <mergeCell ref="T52:U52"/>
    <mergeCell ref="K80:M80"/>
    <mergeCell ref="T60:U60"/>
    <mergeCell ref="T61:U61"/>
    <mergeCell ref="T62:U62"/>
    <mergeCell ref="T63:U63"/>
    <mergeCell ref="T64:U64"/>
    <mergeCell ref="T65:U65"/>
    <mergeCell ref="T66:U66"/>
    <mergeCell ref="T67:U67"/>
    <mergeCell ref="T68:U68"/>
    <mergeCell ref="T69:U69"/>
    <mergeCell ref="T70:U70"/>
    <mergeCell ref="T71:U71"/>
    <mergeCell ref="T72:U72"/>
    <mergeCell ref="T73:U73"/>
    <mergeCell ref="T74:U74"/>
    <mergeCell ref="F32:I32"/>
    <mergeCell ref="K47:M47"/>
    <mergeCell ref="C37:N37"/>
    <mergeCell ref="C38:N38"/>
    <mergeCell ref="O47:S47"/>
    <mergeCell ref="O48:S48"/>
    <mergeCell ref="O49:S49"/>
    <mergeCell ref="O50:S50"/>
    <mergeCell ref="C17:F17"/>
    <mergeCell ref="K48:M48"/>
    <mergeCell ref="K49:M49"/>
    <mergeCell ref="K50:M50"/>
    <mergeCell ref="C35:O35"/>
    <mergeCell ref="K51:M51"/>
    <mergeCell ref="C42:N42"/>
    <mergeCell ref="C43:N43"/>
    <mergeCell ref="C44:N44"/>
    <mergeCell ref="T75:U75"/>
    <mergeCell ref="T76:U76"/>
    <mergeCell ref="T77:U77"/>
    <mergeCell ref="T78:U78"/>
    <mergeCell ref="K52:M52"/>
    <mergeCell ref="T58:U58"/>
    <mergeCell ref="T59:U59"/>
    <mergeCell ref="K59:M59"/>
    <mergeCell ref="T53:U53"/>
    <mergeCell ref="T54:U54"/>
    <mergeCell ref="T55:U55"/>
    <mergeCell ref="T56:U56"/>
    <mergeCell ref="T57:U57"/>
    <mergeCell ref="K53:M53"/>
    <mergeCell ref="K54:M54"/>
    <mergeCell ref="K55:M55"/>
    <mergeCell ref="K56:M56"/>
    <mergeCell ref="K57:M57"/>
    <mergeCell ref="K58:M58"/>
    <mergeCell ref="T79:U79"/>
    <mergeCell ref="T80:U80"/>
    <mergeCell ref="T81:U81"/>
    <mergeCell ref="T82:U82"/>
    <mergeCell ref="T83:U83"/>
    <mergeCell ref="T84:U84"/>
    <mergeCell ref="T85:U85"/>
    <mergeCell ref="T86:U86"/>
    <mergeCell ref="T87:U87"/>
    <mergeCell ref="T88:U88"/>
    <mergeCell ref="T89:U89"/>
    <mergeCell ref="T90:U90"/>
    <mergeCell ref="T91:U91"/>
    <mergeCell ref="T92:U92"/>
    <mergeCell ref="T93:U93"/>
    <mergeCell ref="T94:U94"/>
    <mergeCell ref="T95:U95"/>
    <mergeCell ref="T111:U111"/>
    <mergeCell ref="T112:U112"/>
    <mergeCell ref="T113:U113"/>
    <mergeCell ref="T96:U96"/>
    <mergeCell ref="T97:U97"/>
    <mergeCell ref="T98:U98"/>
    <mergeCell ref="T99:U99"/>
    <mergeCell ref="T100:U100"/>
    <mergeCell ref="T101:U101"/>
    <mergeCell ref="T102:U102"/>
    <mergeCell ref="T103:U103"/>
    <mergeCell ref="T104:U104"/>
    <mergeCell ref="T105:U105"/>
    <mergeCell ref="T106:U106"/>
    <mergeCell ref="T107:U107"/>
    <mergeCell ref="T108:U108"/>
    <mergeCell ref="T109:U109"/>
    <mergeCell ref="T110:U110"/>
    <mergeCell ref="T146:U146"/>
    <mergeCell ref="T147:U147"/>
    <mergeCell ref="O53:S53"/>
    <mergeCell ref="O54:S54"/>
    <mergeCell ref="O55:S55"/>
    <mergeCell ref="O56:S56"/>
    <mergeCell ref="T132:U132"/>
    <mergeCell ref="T133:U133"/>
    <mergeCell ref="T134:U134"/>
    <mergeCell ref="T135:U135"/>
    <mergeCell ref="T136:U136"/>
    <mergeCell ref="T137:U137"/>
    <mergeCell ref="T138:U138"/>
    <mergeCell ref="T139:U139"/>
    <mergeCell ref="T140:U140"/>
    <mergeCell ref="T123:U123"/>
    <mergeCell ref="T124:U124"/>
    <mergeCell ref="T125:U125"/>
    <mergeCell ref="T126:U126"/>
    <mergeCell ref="T127:U127"/>
    <mergeCell ref="T128:U128"/>
    <mergeCell ref="T129:U129"/>
    <mergeCell ref="T130:U130"/>
    <mergeCell ref="T131:U131"/>
    <mergeCell ref="T141:U141"/>
    <mergeCell ref="T142:U142"/>
    <mergeCell ref="T143:U143"/>
    <mergeCell ref="T144:U144"/>
    <mergeCell ref="T145:U145"/>
    <mergeCell ref="T114:U114"/>
    <mergeCell ref="T115:U115"/>
    <mergeCell ref="T116:U116"/>
    <mergeCell ref="T117:U117"/>
    <mergeCell ref="T118:U118"/>
    <mergeCell ref="T119:U119"/>
    <mergeCell ref="T120:U120"/>
    <mergeCell ref="T121:U121"/>
    <mergeCell ref="T122:U122"/>
    <mergeCell ref="D399:F399"/>
    <mergeCell ref="C272:D272"/>
    <mergeCell ref="K60:M60"/>
    <mergeCell ref="K61:M61"/>
    <mergeCell ref="K62:M62"/>
    <mergeCell ref="C287:P287"/>
    <mergeCell ref="C286:P286"/>
    <mergeCell ref="C284:N284"/>
    <mergeCell ref="K96:M96"/>
    <mergeCell ref="K97:M97"/>
    <mergeCell ref="K98:M98"/>
    <mergeCell ref="K91:M91"/>
    <mergeCell ref="K92:M92"/>
    <mergeCell ref="K93:M93"/>
    <mergeCell ref="K94:M94"/>
    <mergeCell ref="K95:M95"/>
    <mergeCell ref="C155:N155"/>
    <mergeCell ref="K87:M87"/>
    <mergeCell ref="K88:M88"/>
    <mergeCell ref="K89:M89"/>
    <mergeCell ref="K90:M90"/>
    <mergeCell ref="K78:M78"/>
    <mergeCell ref="K79:M79"/>
    <mergeCell ref="K81:M81"/>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03:AD103"/>
    <mergeCell ref="AC104:AD104"/>
    <mergeCell ref="AC105:AD105"/>
    <mergeCell ref="AC106:AD106"/>
    <mergeCell ref="AC107:AD107"/>
    <mergeCell ref="AC108:AD108"/>
    <mergeCell ref="AC109:AD109"/>
    <mergeCell ref="AC137:AD137"/>
    <mergeCell ref="AC138:AD138"/>
    <mergeCell ref="AC139:AD139"/>
    <mergeCell ref="AC140:AD140"/>
    <mergeCell ref="AC141:AD141"/>
    <mergeCell ref="AC142:AD142"/>
    <mergeCell ref="AC125:AD125"/>
    <mergeCell ref="AC126:AD126"/>
    <mergeCell ref="AC127:AD127"/>
    <mergeCell ref="AC128:AD128"/>
    <mergeCell ref="AC129:AD129"/>
    <mergeCell ref="AC130:AD130"/>
    <mergeCell ref="AC131:AD131"/>
    <mergeCell ref="AC132:AD132"/>
    <mergeCell ref="AC133:AD133"/>
    <mergeCell ref="Y43:AB45"/>
    <mergeCell ref="C395:N395"/>
    <mergeCell ref="C152:P152"/>
    <mergeCell ref="AC143:AD143"/>
    <mergeCell ref="AC144:AD144"/>
    <mergeCell ref="AC145:AD145"/>
    <mergeCell ref="AC146:AD146"/>
    <mergeCell ref="AC147:AD147"/>
    <mergeCell ref="E18:F18"/>
    <mergeCell ref="E19:F19"/>
    <mergeCell ref="E20:F20"/>
    <mergeCell ref="E21:F21"/>
    <mergeCell ref="E22:F22"/>
    <mergeCell ref="E23:F23"/>
    <mergeCell ref="E24:F24"/>
    <mergeCell ref="E25:F25"/>
    <mergeCell ref="E26:F26"/>
    <mergeCell ref="E27:F27"/>
    <mergeCell ref="E28:F28"/>
    <mergeCell ref="E29:F29"/>
    <mergeCell ref="E30:F30"/>
    <mergeCell ref="AC134:AD134"/>
    <mergeCell ref="AC135:AD135"/>
    <mergeCell ref="AC136:AD136"/>
  </mergeCells>
  <phoneticPr fontId="33" type="noConversion"/>
  <conditionalFormatting sqref="C30">
    <cfRule type="expression" dxfId="39" priority="16">
      <formula>OR($C$18="Select Entity",$C$18="Credera US")</formula>
    </cfRule>
  </conditionalFormatting>
  <conditionalFormatting sqref="C47:J47 AA47:AC47 AE47:AF47">
    <cfRule type="cellIs" dxfId="38" priority="162" operator="equal">
      <formula>"Onshore"</formula>
    </cfRule>
    <cfRule type="cellIs" dxfId="37" priority="163" operator="equal">
      <formula>"Onsite"</formula>
    </cfRule>
    <cfRule type="cellIs" dxfId="36" priority="164" operator="equal">
      <formula>"Onsite"</formula>
    </cfRule>
    <cfRule type="cellIs" dxfId="35" priority="165" operator="equal">
      <formula>"Onshore"</formula>
    </cfRule>
  </conditionalFormatting>
  <conditionalFormatting sqref="E30">
    <cfRule type="expression" dxfId="33" priority="18">
      <formula>OR($C$20="Select Entity",$C$20="Credera US")</formula>
    </cfRule>
  </conditionalFormatting>
  <conditionalFormatting sqref="G18:J18 G20:J26 G27:I27 G28:J29 D31">
    <cfRule type="expression" dxfId="32" priority="201">
      <formula>$AH$1="Canada"</formula>
    </cfRule>
    <cfRule type="expression" dxfId="31" priority="202">
      <formula>$AH$1="India"</formula>
    </cfRule>
    <cfRule type="expression" dxfId="30" priority="203">
      <formula>$AH$1="US"</formula>
    </cfRule>
    <cfRule type="expression" dxfId="29" priority="204">
      <formula>$AH$1="UK"</formula>
    </cfRule>
  </conditionalFormatting>
  <conditionalFormatting sqref="K291:K390">
    <cfRule type="expression" dxfId="9" priority="12">
      <formula>#REF!="Canada"</formula>
    </cfRule>
    <cfRule type="expression" dxfId="8" priority="13">
      <formula>#REF!="India"</formula>
    </cfRule>
    <cfRule type="expression" dxfId="7" priority="14">
      <formula>#REF!="US"</formula>
    </cfRule>
    <cfRule type="expression" dxfId="6" priority="15">
      <formula>#REF!="UK"</formula>
    </cfRule>
  </conditionalFormatting>
  <conditionalFormatting sqref="L3">
    <cfRule type="expression" dxfId="28" priority="23">
      <formula>$L$3="ROPE Ready for Upload"</formula>
    </cfRule>
    <cfRule type="expression" dxfId="27" priority="24">
      <formula>$L$3="ROPE Incomplete -- Will not upload"</formula>
    </cfRule>
  </conditionalFormatting>
  <conditionalFormatting sqref="L291 D291:F390 I291:I390 G292:H292">
    <cfRule type="expression" dxfId="5" priority="83">
      <formula>#REF!="Canada"</formula>
    </cfRule>
    <cfRule type="expression" dxfId="4" priority="84">
      <formula>#REF!="India"</formula>
    </cfRule>
    <cfRule type="expression" dxfId="3" priority="85">
      <formula>#REF!="US"</formula>
    </cfRule>
    <cfRule type="expression" dxfId="2" priority="86">
      <formula>#REF!="UK"</formula>
    </cfRule>
  </conditionalFormatting>
  <conditionalFormatting sqref="N48:N147">
    <cfRule type="expression" dxfId="1" priority="4">
      <formula>OR($C48="TADIndia",$C48="TADNorth America")</formula>
    </cfRule>
  </conditionalFormatting>
  <conditionalFormatting sqref="Y48:Y147">
    <cfRule type="expression" dxfId="24" priority="2">
      <formula>AND(ISNUMBER(Y48),Y48&gt;40)</formula>
    </cfRule>
  </conditionalFormatting>
  <conditionalFormatting sqref="Y43:AB45">
    <cfRule type="expression" dxfId="23" priority="3">
      <formula>$Y$43&lt;&gt;""</formula>
    </cfRule>
  </conditionalFormatting>
  <conditionalFormatting sqref="AH20:AH29">
    <cfRule type="beginsWith" dxfId="22" priority="131" operator="beginsWith" text="[">
      <formula>LEFT(AH20,LEN("["))="["</formula>
    </cfRule>
  </conditionalFormatting>
  <conditionalFormatting sqref="AI20:AI29">
    <cfRule type="expression" dxfId="21" priority="205">
      <formula>$W21="%"</formula>
    </cfRule>
  </conditionalFormatting>
  <conditionalFormatting sqref="AI30">
    <cfRule type="expression" dxfId="20" priority="208">
      <formula>$W32="%"</formula>
    </cfRule>
  </conditionalFormatting>
  <conditionalFormatting sqref="AI31">
    <cfRule type="expression" dxfId="19" priority="210">
      <formula>$W34="%"</formula>
    </cfRule>
  </conditionalFormatting>
  <conditionalFormatting sqref="AK20:AN29">
    <cfRule type="expression" dxfId="18" priority="206">
      <formula>$W21="Hrs"</formula>
    </cfRule>
  </conditionalFormatting>
  <conditionalFormatting sqref="CD160:CF161 CE170:CG170 CJ170:CK170 CE172:CF175 BP173:CA173 BP178:CA178 BP185:CA185">
    <cfRule type="expression" dxfId="17" priority="169">
      <formula>$AQ$1="UK"</formula>
    </cfRule>
    <cfRule type="expression" dxfId="16" priority="166">
      <formula>$AQ$1="Canada"</formula>
    </cfRule>
    <cfRule type="expression" dxfId="15" priority="167">
      <formula>$AQ$1="India"</formula>
    </cfRule>
    <cfRule type="expression" dxfId="14" priority="168">
      <formula>$AQ$1="US"</formula>
    </cfRule>
  </conditionalFormatting>
  <conditionalFormatting sqref="CI160:CI161">
    <cfRule type="expression" dxfId="13" priority="148">
      <formula>$AQ$1="US"</formula>
    </cfRule>
    <cfRule type="expression" dxfId="12" priority="149">
      <formula>$AQ$1="UK"</formula>
    </cfRule>
    <cfRule type="expression" dxfId="11" priority="147">
      <formula>$AQ$1="India"</formula>
    </cfRule>
    <cfRule type="expression" dxfId="10" priority="146">
      <formula>$AQ$1="Canada"</formula>
    </cfRule>
  </conditionalFormatting>
  <dataValidations count="7">
    <dataValidation type="list" allowBlank="1" showInputMessage="1" showErrorMessage="1" sqref="F48:F148" xr:uid="{FC67185B-E675-1747-A791-8ADBADBDC6E5}">
      <formula1>INDIRECT($E48)</formula1>
    </dataValidation>
    <dataValidation type="list" allowBlank="1" showInputMessage="1" showErrorMessage="1" sqref="T99:T147" xr:uid="{2F9B4635-B2F5-B34A-8B10-29B78C5FBBD7}">
      <formula1>INDIRECT($D$27)</formula1>
    </dataValidation>
    <dataValidation type="list" allowBlank="1" showInputMessage="1" showErrorMessage="1" sqref="Z48:Z147" xr:uid="{62972467-1238-BA48-A9AF-0247FB0479A2}">
      <formula1>INDIRECT($W48)</formula1>
    </dataValidation>
    <dataValidation type="list" allowBlank="1" showInputMessage="1" showErrorMessage="1" sqref="D49:D147" xr:uid="{E4B56504-1EE6-4BD9-A25B-5CEEA8D81AFF}">
      <formula1>TADIndia</formula1>
    </dataValidation>
    <dataValidation type="list" allowBlank="1" showInputMessage="1" showErrorMessage="1" sqref="I48:I147" xr:uid="{8161CF64-DCD6-48E6-B5A3-B1FD5B209ACA}">
      <formula1>INDIRECT($H48)</formula1>
    </dataValidation>
    <dataValidation type="list" allowBlank="1" showInputMessage="1" showErrorMessage="1" sqref="T48:U98" xr:uid="{942116E0-3FBE-49B1-B31D-5560A05758B9}">
      <formula1>INDIRECT($E$27)</formula1>
    </dataValidation>
    <dataValidation type="list" allowBlank="1" showInputMessage="1" showErrorMessage="1" sqref="K48:M147" xr:uid="{C3942DC6-9684-42BC-9B5F-6F1B082B1317}">
      <formula1>IF($E$20="Credera US",INDIRECT($C48),INDIRECT($G48))</formula1>
    </dataValidation>
  </dataValidations>
  <hyperlinks>
    <hyperlink ref="L3:M3" location="'5. Import Checklist'!C14" display="'5. Import Checklist'!C14" xr:uid="{EDD051A8-5620-48E6-8275-6F2D0B011FC8}"/>
    <hyperlink ref="C399" location="'1. Project Inputs'!B63" display="Options Pulled from Project Inputs" xr:uid="{7728E61B-B908-4AFD-B6CE-0BF44092B70F}"/>
  </hyperlinks>
  <pageMargins left="0.7" right="0.7" top="0.75" bottom="0.75" header="0.3" footer="0.3"/>
  <ignoredErrors>
    <ignoredError sqref="B55:C99 J55:J147 Y172:BO269 C171:C269 Z52:AB52 M291:N294 J49 M296:N346 N295 I170 Y170:BO170 J50:J53 P48:S48 Z53:AB53 Y55:AB147 B48:B54 F170:G170 J48 AA48 Z49:AA49 Z50:AB50 Z51:AB51 B101:C147 B100 F172:G269 AC171:BO171 O171:W171 T99:U147 K170:W170 I172:W269 Z54:AB54"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D48:F147</xm:sqref>
        </x14:conditionalFormatting>
        <x14:conditionalFormatting xmlns:xm="http://schemas.microsoft.com/office/excel/2006/main">
          <x14:cfRule type="expression" priority="1" id="{7EFCB34E-A71F-4FC1-A414-FCAFB2BF1F47}">
            <xm:f>'1. Project Inputs'!$C$19="TA Digital"</xm:f>
            <x14:dxf>
              <font>
                <color theme="0"/>
              </font>
            </x14:dxf>
          </x14:cfRule>
          <xm:sqref>N48:N147</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T48:U147</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AF101:AF147 AC101:AC147</xm:sqref>
        </x14:dataValidation>
        <x14:dataValidation type="list" allowBlank="1" showInputMessage="1" showErrorMessage="1" xr:uid="{14434F7C-F610-B942-8C07-0FC1225332A1}">
          <x14:formula1>
            <xm:f>'Rates &amp; Drop Downs INT'!$T$6:$T$8</xm:f>
          </x14:formula1>
          <xm:sqref>AF48:AF98 AE48:AE50 AC48:AC98</xm:sqref>
        </x14:dataValidation>
        <x14:dataValidation type="list" allowBlank="1" showInputMessage="1" showErrorMessage="1" xr:uid="{2F0D4908-F31F-2D44-A1A8-BE843CA76360}">
          <x14:formula1>
            <xm:f>'Rates &amp; Drop Downs INT'!$AJ$6:$AJ$10</xm:f>
          </x14:formula1>
          <xm:sqref>D399</xm:sqref>
        </x14:dataValidation>
        <x14:dataValidation type="list" allowBlank="1" showInputMessage="1" showErrorMessage="1" xr:uid="{92B05BA2-266F-4E40-B939-2DE17BF2223C}">
          <x14:formula1>
            <xm:f>'Rates &amp; Drop Downs INT'!$AN$6:$AN$36</xm:f>
          </x14:formula1>
          <xm:sqref>AB48:AB98</xm:sqref>
        </x14:dataValidation>
        <x14:dataValidation type="list" allowBlank="1" showInputMessage="1" showErrorMessage="1" xr:uid="{1EEF2DD9-7E13-8747-922E-B914B87A0175}">
          <x14:formula1>
            <xm:f>IF($D$25="Consulting",$O$21:$O$32,'Rates &amp; Drop Downs INT'!$AE$7:$AE$11)</xm:f>
          </x14:formula1>
          <xm:sqref>AF99:AF100 AC99:AC100</xm:sqref>
        </x14:dataValidation>
        <x14:dataValidation type="list" allowBlank="1" showInputMessage="1" showErrorMessage="1" xr:uid="{6CCB0934-836E-4F25-8B52-B8CFB8DCD3B2}">
          <x14:formula1>
            <xm:f>'Rates &amp; Drop Downs INT'!$A$6:$A$11</xm:f>
          </x14:formula1>
          <xm:sqref>C48:C147</xm:sqref>
        </x14:dataValidation>
        <x14:dataValidation type="list" allowBlank="1" showInputMessage="1" showErrorMessage="1" xr:uid="{31999029-8023-409C-A42E-9F078DC4E4FB}">
          <x14:formula1>
            <xm:f>'Rates &amp; Drop Downs INT'!$CG$6:$CG$708</xm:f>
          </x14:formula1>
          <xm:sqref>D48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4"/>
  <sheetViews>
    <sheetView topLeftCell="BH26" zoomScale="80" zoomScaleNormal="80" workbookViewId="0">
      <selection activeCell="BP50" sqref="BP50"/>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Test Digital Project</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Materials"))</f>
        <v>Time and Materials</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SOW</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Select CR Type</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5" thickBot="1" x14ac:dyDescent="0.35">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8.25" customHeight="1" x14ac:dyDescent="0.3">
      <c r="A9" s="157"/>
      <c r="B9" s="158"/>
      <c r="C9" s="158"/>
      <c r="D9" s="158"/>
      <c r="E9" s="158"/>
      <c r="F9" s="158"/>
      <c r="G9" s="2002" t="s">
        <v>2173</v>
      </c>
      <c r="H9" s="2003"/>
      <c r="I9" s="2003"/>
      <c r="J9" s="2003"/>
      <c r="K9" s="2004"/>
      <c r="N9" s="139"/>
      <c r="O9" s="139"/>
      <c r="P9" s="160"/>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c r="BS9" s="140" t="s">
        <v>3230</v>
      </c>
    </row>
    <row r="10" spans="1:94" s="161" customFormat="1" ht="38" thickBot="1" x14ac:dyDescent="0.4">
      <c r="A10" s="157"/>
      <c r="B10" s="158"/>
      <c r="C10" s="158"/>
      <c r="D10" s="158"/>
      <c r="E10" s="158"/>
      <c r="F10" s="158"/>
      <c r="G10" s="2005"/>
      <c r="H10" s="2006"/>
      <c r="I10" s="2006"/>
      <c r="J10" s="2006"/>
      <c r="K10" s="2007"/>
      <c r="M10" s="143" t="s">
        <v>2174</v>
      </c>
      <c r="N10" s="162">
        <f>'2. Roles &amp; Pricing'!E166</f>
        <v>0</v>
      </c>
      <c r="O10" s="163">
        <f>N10+7</f>
        <v>7</v>
      </c>
      <c r="P10" s="163">
        <f t="shared" ref="P10:V10" si="0">O10+7</f>
        <v>14</v>
      </c>
      <c r="Q10" s="163">
        <f t="shared" si="0"/>
        <v>21</v>
      </c>
      <c r="R10" s="163">
        <f t="shared" si="0"/>
        <v>28</v>
      </c>
      <c r="S10" s="163">
        <f t="shared" si="0"/>
        <v>35</v>
      </c>
      <c r="T10" s="163">
        <f t="shared" si="0"/>
        <v>42</v>
      </c>
      <c r="U10" s="163">
        <f t="shared" si="0"/>
        <v>49</v>
      </c>
      <c r="V10" s="163">
        <f t="shared" si="0"/>
        <v>56</v>
      </c>
      <c r="W10" s="163">
        <f>V10+7</f>
        <v>63</v>
      </c>
      <c r="X10" s="163">
        <f t="shared" ref="X10" si="1">W10+7</f>
        <v>70</v>
      </c>
      <c r="Y10" s="163">
        <f t="shared" ref="Y10" si="2">X10+7</f>
        <v>77</v>
      </c>
      <c r="Z10" s="163">
        <f t="shared" ref="Z10" si="3">Y10+7</f>
        <v>84</v>
      </c>
      <c r="AA10" s="163">
        <f t="shared" ref="AA10" si="4">Z10+7</f>
        <v>91</v>
      </c>
      <c r="AB10" s="163">
        <f t="shared" ref="AB10" si="5">AA10+7</f>
        <v>98</v>
      </c>
      <c r="AC10" s="163">
        <f t="shared" ref="AC10" si="6">AB10+7</f>
        <v>105</v>
      </c>
      <c r="AD10" s="163">
        <f t="shared" ref="AD10" si="7">AC10+7</f>
        <v>112</v>
      </c>
      <c r="AE10" s="163">
        <f t="shared" ref="AE10" si="8">AD10+7</f>
        <v>119</v>
      </c>
      <c r="AF10" s="163">
        <f t="shared" ref="AF10" si="9">AE10+7</f>
        <v>126</v>
      </c>
      <c r="AG10" s="163">
        <f t="shared" ref="AG10" si="10">AF10+7</f>
        <v>133</v>
      </c>
      <c r="AH10" s="163">
        <f t="shared" ref="AH10" si="11">AG10+7</f>
        <v>140</v>
      </c>
      <c r="AI10" s="163">
        <f t="shared" ref="AI10" si="12">AH10+7</f>
        <v>147</v>
      </c>
      <c r="AJ10" s="163">
        <f t="shared" ref="AJ10" si="13">AI10+7</f>
        <v>154</v>
      </c>
      <c r="AK10" s="163">
        <f t="shared" ref="AK10" si="14">AJ10+7</f>
        <v>161</v>
      </c>
      <c r="AL10" s="163">
        <f t="shared" ref="AL10" si="15">AK10+7</f>
        <v>168</v>
      </c>
      <c r="AM10" s="163">
        <f t="shared" ref="AM10" si="16">AL10+7</f>
        <v>175</v>
      </c>
      <c r="AN10" s="163">
        <f t="shared" ref="AN10" si="17">AM10+7</f>
        <v>182</v>
      </c>
      <c r="AO10" s="163">
        <f t="shared" ref="AO10" si="18">AN10+7</f>
        <v>189</v>
      </c>
      <c r="AP10" s="163">
        <f t="shared" ref="AP10" si="19">AO10+7</f>
        <v>196</v>
      </c>
      <c r="AQ10" s="163">
        <f t="shared" ref="AQ10" si="20">AP10+7</f>
        <v>203</v>
      </c>
      <c r="AR10" s="163">
        <f t="shared" ref="AR10" si="21">AQ10+7</f>
        <v>210</v>
      </c>
      <c r="AS10" s="163">
        <f t="shared" ref="AS10" si="22">AR10+7</f>
        <v>217</v>
      </c>
      <c r="AT10" s="163">
        <f t="shared" ref="AT10" si="23">AS10+7</f>
        <v>224</v>
      </c>
      <c r="AU10" s="163">
        <f t="shared" ref="AU10" si="24">AT10+7</f>
        <v>231</v>
      </c>
      <c r="AV10" s="163">
        <f t="shared" ref="AV10" si="25">AU10+7</f>
        <v>238</v>
      </c>
      <c r="AW10" s="163">
        <f t="shared" ref="AW10" si="26">AV10+7</f>
        <v>245</v>
      </c>
      <c r="AX10" s="163">
        <f t="shared" ref="AX10" si="27">AW10+7</f>
        <v>252</v>
      </c>
      <c r="AY10" s="163">
        <f t="shared" ref="AY10" si="28">AX10+7</f>
        <v>259</v>
      </c>
      <c r="AZ10" s="163">
        <f t="shared" ref="AZ10" si="29">AY10+7</f>
        <v>266</v>
      </c>
      <c r="BA10" s="163">
        <f t="shared" ref="BA10" si="30">AZ10+7</f>
        <v>273</v>
      </c>
      <c r="BB10" s="163">
        <f t="shared" ref="BB10" si="31">BA10+7</f>
        <v>280</v>
      </c>
      <c r="BC10" s="163">
        <f t="shared" ref="BC10" si="32">BB10+7</f>
        <v>287</v>
      </c>
      <c r="BD10" s="163">
        <f t="shared" ref="BD10" si="33">BC10+7</f>
        <v>294</v>
      </c>
      <c r="BE10" s="163">
        <f t="shared" ref="BE10" si="34">BD10+7</f>
        <v>301</v>
      </c>
      <c r="BF10" s="163">
        <f t="shared" ref="BF10" si="35">BE10+7</f>
        <v>308</v>
      </c>
      <c r="BG10" s="163">
        <f t="shared" ref="BG10" si="36">BF10+7</f>
        <v>315</v>
      </c>
      <c r="BH10" s="163">
        <f t="shared" ref="BH10" si="37">BG10+7</f>
        <v>322</v>
      </c>
      <c r="BI10" s="163">
        <f t="shared" ref="BI10" si="38">BH10+7</f>
        <v>329</v>
      </c>
      <c r="BJ10" s="163">
        <f t="shared" ref="BJ10" si="39">BI10+7</f>
        <v>336</v>
      </c>
      <c r="BK10" s="163">
        <f t="shared" ref="BK10" si="40">BJ10+7</f>
        <v>343</v>
      </c>
      <c r="BL10" s="163">
        <f t="shared" ref="BL10" si="41">BK10+7</f>
        <v>350</v>
      </c>
      <c r="BM10" s="163">
        <f t="shared" ref="BM10" si="42">BL10+7</f>
        <v>357</v>
      </c>
      <c r="BR10" s="164"/>
    </row>
    <row r="11" spans="1:94" s="140" customFormat="1" ht="27.5" thickBot="1" x14ac:dyDescent="0.35">
      <c r="A11" s="157"/>
      <c r="B11" s="158"/>
      <c r="C11" s="158"/>
      <c r="D11" s="158"/>
      <c r="E11" s="158"/>
      <c r="F11" s="158"/>
      <c r="G11" s="2008"/>
      <c r="H11" s="2009"/>
      <c r="I11" s="2009"/>
      <c r="J11" s="2009"/>
      <c r="K11" s="2010"/>
      <c r="M11" s="143" t="s">
        <v>1965</v>
      </c>
      <c r="N11" s="165">
        <f>N10+6-WEEKDAY(N10)</f>
        <v>-1</v>
      </c>
      <c r="O11" s="165">
        <f t="shared" ref="O11:BM11" si="43">O10+6-WEEKDAY(O10)</f>
        <v>6</v>
      </c>
      <c r="P11" s="165">
        <f t="shared" si="43"/>
        <v>13</v>
      </c>
      <c r="Q11" s="165">
        <f t="shared" si="43"/>
        <v>20</v>
      </c>
      <c r="R11" s="165">
        <f t="shared" si="43"/>
        <v>27</v>
      </c>
      <c r="S11" s="165">
        <f t="shared" si="43"/>
        <v>34</v>
      </c>
      <c r="T11" s="165">
        <f t="shared" si="43"/>
        <v>41</v>
      </c>
      <c r="U11" s="165">
        <f t="shared" si="43"/>
        <v>48</v>
      </c>
      <c r="V11" s="165">
        <f t="shared" si="43"/>
        <v>55</v>
      </c>
      <c r="W11" s="165">
        <f t="shared" si="43"/>
        <v>62</v>
      </c>
      <c r="X11" s="165">
        <f t="shared" si="43"/>
        <v>69</v>
      </c>
      <c r="Y11" s="165">
        <f t="shared" si="43"/>
        <v>76</v>
      </c>
      <c r="Z11" s="165">
        <f t="shared" si="43"/>
        <v>83</v>
      </c>
      <c r="AA11" s="165">
        <f t="shared" si="43"/>
        <v>90</v>
      </c>
      <c r="AB11" s="165">
        <f t="shared" si="43"/>
        <v>97</v>
      </c>
      <c r="AC11" s="165">
        <f t="shared" si="43"/>
        <v>104</v>
      </c>
      <c r="AD11" s="165">
        <f t="shared" si="43"/>
        <v>111</v>
      </c>
      <c r="AE11" s="165">
        <f t="shared" si="43"/>
        <v>118</v>
      </c>
      <c r="AF11" s="165">
        <f t="shared" si="43"/>
        <v>125</v>
      </c>
      <c r="AG11" s="165">
        <f t="shared" si="43"/>
        <v>132</v>
      </c>
      <c r="AH11" s="165">
        <f t="shared" ref="AH11:AR11" si="44">AH10+6-WEEKDAY(AH10)</f>
        <v>139</v>
      </c>
      <c r="AI11" s="165">
        <f t="shared" si="44"/>
        <v>146</v>
      </c>
      <c r="AJ11" s="165">
        <f t="shared" si="44"/>
        <v>153</v>
      </c>
      <c r="AK11" s="165">
        <f t="shared" si="44"/>
        <v>160</v>
      </c>
      <c r="AL11" s="165">
        <f t="shared" si="44"/>
        <v>167</v>
      </c>
      <c r="AM11" s="165">
        <f t="shared" si="44"/>
        <v>174</v>
      </c>
      <c r="AN11" s="165">
        <f t="shared" si="44"/>
        <v>181</v>
      </c>
      <c r="AO11" s="165">
        <f t="shared" si="44"/>
        <v>188</v>
      </c>
      <c r="AP11" s="165">
        <f t="shared" si="44"/>
        <v>195</v>
      </c>
      <c r="AQ11" s="165">
        <f t="shared" si="44"/>
        <v>202</v>
      </c>
      <c r="AR11" s="165">
        <f t="shared" si="44"/>
        <v>209</v>
      </c>
      <c r="AS11" s="165">
        <f t="shared" si="43"/>
        <v>216</v>
      </c>
      <c r="AT11" s="165">
        <f t="shared" ref="AT11:BC11" si="45">AT10+6-WEEKDAY(AT10)</f>
        <v>223</v>
      </c>
      <c r="AU11" s="165">
        <f t="shared" si="45"/>
        <v>230</v>
      </c>
      <c r="AV11" s="165">
        <f t="shared" si="45"/>
        <v>237</v>
      </c>
      <c r="AW11" s="165">
        <f t="shared" si="45"/>
        <v>244</v>
      </c>
      <c r="AX11" s="165">
        <f t="shared" si="45"/>
        <v>251</v>
      </c>
      <c r="AY11" s="165">
        <f t="shared" si="45"/>
        <v>258</v>
      </c>
      <c r="AZ11" s="165">
        <f t="shared" si="45"/>
        <v>265</v>
      </c>
      <c r="BA11" s="165">
        <f t="shared" si="45"/>
        <v>272</v>
      </c>
      <c r="BB11" s="165">
        <f t="shared" si="45"/>
        <v>279</v>
      </c>
      <c r="BC11" s="165">
        <f t="shared" si="45"/>
        <v>286</v>
      </c>
      <c r="BD11" s="165">
        <f t="shared" si="43"/>
        <v>293</v>
      </c>
      <c r="BE11" s="165">
        <f t="shared" si="43"/>
        <v>300</v>
      </c>
      <c r="BF11" s="165">
        <f t="shared" si="43"/>
        <v>307</v>
      </c>
      <c r="BG11" s="165">
        <f t="shared" si="43"/>
        <v>314</v>
      </c>
      <c r="BH11" s="165">
        <f t="shared" si="43"/>
        <v>321</v>
      </c>
      <c r="BI11" s="165">
        <f t="shared" si="43"/>
        <v>328</v>
      </c>
      <c r="BJ11" s="165">
        <f t="shared" si="43"/>
        <v>335</v>
      </c>
      <c r="BK11" s="165">
        <f t="shared" si="43"/>
        <v>342</v>
      </c>
      <c r="BL11" s="165">
        <f t="shared" si="43"/>
        <v>349</v>
      </c>
      <c r="BM11" s="165">
        <f t="shared" si="43"/>
        <v>356</v>
      </c>
      <c r="BR11" s="2011" t="s">
        <v>1966</v>
      </c>
    </row>
    <row r="12" spans="1:94" s="161" customFormat="1" ht="27.5" thickBot="1" x14ac:dyDescent="0.4">
      <c r="A12" s="157"/>
      <c r="B12" s="158"/>
      <c r="C12" s="158"/>
      <c r="D12" s="158"/>
      <c r="E12" s="158"/>
      <c r="F12" s="158"/>
      <c r="G12" s="2013" t="s">
        <v>1967</v>
      </c>
      <c r="H12" s="2014"/>
      <c r="I12" s="2014"/>
      <c r="J12" s="2014"/>
      <c r="K12" s="2015"/>
      <c r="L12" s="2019" t="s">
        <v>1</v>
      </c>
      <c r="M12" s="2020"/>
      <c r="N12" s="166" t="s">
        <v>1968</v>
      </c>
      <c r="O12" s="2023" t="s">
        <v>1969</v>
      </c>
      <c r="P12" s="2023"/>
      <c r="Q12" s="1987"/>
      <c r="R12" s="1986" t="s">
        <v>1970</v>
      </c>
      <c r="S12" s="1987"/>
      <c r="T12" s="1986" t="s">
        <v>1971</v>
      </c>
      <c r="U12" s="1987"/>
      <c r="V12" s="1986" t="s">
        <v>1972</v>
      </c>
      <c r="W12" s="2023"/>
      <c r="X12" s="2023"/>
      <c r="Y12" s="2023"/>
      <c r="Z12" s="2023"/>
      <c r="AA12" s="2023"/>
      <c r="AB12" s="2023"/>
      <c r="AC12" s="2023"/>
      <c r="AD12" s="2023"/>
      <c r="AE12" s="2023"/>
      <c r="AF12" s="2023"/>
      <c r="AG12" s="2023"/>
      <c r="AH12" s="2023"/>
      <c r="AI12" s="2023"/>
      <c r="AJ12" s="2023"/>
      <c r="AK12" s="2023"/>
      <c r="AL12" s="2023"/>
      <c r="AM12" s="2023"/>
      <c r="AN12" s="2023"/>
      <c r="AO12" s="2023"/>
      <c r="AP12" s="2023"/>
      <c r="AQ12" s="2023"/>
      <c r="AR12" s="2023"/>
      <c r="AS12" s="1987"/>
      <c r="AT12" s="1986" t="s">
        <v>1973</v>
      </c>
      <c r="AU12" s="1987"/>
      <c r="AV12" s="1986" t="s">
        <v>1974</v>
      </c>
      <c r="AW12" s="1987"/>
      <c r="AX12" s="1986" t="s">
        <v>1975</v>
      </c>
      <c r="AY12" s="1987"/>
      <c r="AZ12" s="1986" t="s">
        <v>1976</v>
      </c>
      <c r="BA12" s="1987"/>
      <c r="BB12" s="1986" t="s">
        <v>1977</v>
      </c>
      <c r="BC12" s="1987"/>
      <c r="BD12" s="1986" t="s">
        <v>1973</v>
      </c>
      <c r="BE12" s="1987"/>
      <c r="BF12" s="1986" t="s">
        <v>1974</v>
      </c>
      <c r="BG12" s="1987"/>
      <c r="BH12" s="1986" t="s">
        <v>1975</v>
      </c>
      <c r="BI12" s="1987"/>
      <c r="BJ12" s="1986" t="s">
        <v>1976</v>
      </c>
      <c r="BK12" s="1987"/>
      <c r="BL12" s="1986" t="s">
        <v>1977</v>
      </c>
      <c r="BM12" s="1987"/>
      <c r="BN12" s="161" t="s">
        <v>2201</v>
      </c>
      <c r="BO12" s="161" t="s">
        <v>2200</v>
      </c>
      <c r="BR12" s="2012"/>
      <c r="BS12" s="1988" t="s">
        <v>2175</v>
      </c>
      <c r="BT12" s="1989"/>
      <c r="BU12" s="167"/>
    </row>
    <row r="13" spans="1:94" s="161" customFormat="1" ht="27.5" thickBot="1" x14ac:dyDescent="0.4">
      <c r="A13" s="157"/>
      <c r="B13" s="158"/>
      <c r="C13" s="158"/>
      <c r="D13" s="158"/>
      <c r="E13" s="158"/>
      <c r="F13" s="158"/>
      <c r="G13" s="2016"/>
      <c r="H13" s="2017"/>
      <c r="I13" s="2017"/>
      <c r="J13" s="2017"/>
      <c r="K13" s="2018"/>
      <c r="L13" s="2021"/>
      <c r="M13" s="2022"/>
      <c r="N13" s="168" t="s">
        <v>1978</v>
      </c>
      <c r="O13" s="1992" t="s">
        <v>1979</v>
      </c>
      <c r="P13" s="1992"/>
      <c r="Q13" s="1993"/>
      <c r="R13" s="1994" t="s">
        <v>1980</v>
      </c>
      <c r="S13" s="1995"/>
      <c r="T13" s="1994" t="s">
        <v>1980</v>
      </c>
      <c r="U13" s="1995"/>
      <c r="V13" s="1994" t="s">
        <v>1980</v>
      </c>
      <c r="W13" s="1996"/>
      <c r="X13" s="1996"/>
      <c r="Y13" s="1996"/>
      <c r="Z13" s="1996"/>
      <c r="AA13" s="1996"/>
      <c r="AB13" s="1996"/>
      <c r="AC13" s="1996"/>
      <c r="AD13" s="1996"/>
      <c r="AE13" s="1996"/>
      <c r="AF13" s="1996"/>
      <c r="AG13" s="1996"/>
      <c r="AH13" s="1996"/>
      <c r="AI13" s="1996"/>
      <c r="AJ13" s="1996"/>
      <c r="AK13" s="1996"/>
      <c r="AL13" s="1996"/>
      <c r="AM13" s="1996"/>
      <c r="AN13" s="1996"/>
      <c r="AO13" s="1996"/>
      <c r="AP13" s="1996"/>
      <c r="AQ13" s="1996"/>
      <c r="AR13" s="1996"/>
      <c r="AS13" s="1995"/>
      <c r="AT13" s="1994" t="s">
        <v>1980</v>
      </c>
      <c r="AU13" s="1995"/>
      <c r="AV13" s="1994" t="s">
        <v>1980</v>
      </c>
      <c r="AW13" s="1995"/>
      <c r="AX13" s="1994" t="s">
        <v>1980</v>
      </c>
      <c r="AY13" s="1995"/>
      <c r="AZ13" s="1997" t="s">
        <v>1981</v>
      </c>
      <c r="BA13" s="1998"/>
      <c r="BB13" s="1997" t="s">
        <v>1982</v>
      </c>
      <c r="BC13" s="1998"/>
      <c r="BD13" s="1994" t="s">
        <v>1980</v>
      </c>
      <c r="BE13" s="1995"/>
      <c r="BF13" s="1994" t="s">
        <v>1980</v>
      </c>
      <c r="BG13" s="1995"/>
      <c r="BH13" s="1994" t="s">
        <v>1980</v>
      </c>
      <c r="BI13" s="1995"/>
      <c r="BJ13" s="1997" t="s">
        <v>1981</v>
      </c>
      <c r="BK13" s="1998"/>
      <c r="BL13" s="1997" t="s">
        <v>1982</v>
      </c>
      <c r="BM13" s="1998"/>
      <c r="BN13" s="1999" t="s">
        <v>1983</v>
      </c>
      <c r="BO13" s="2000"/>
      <c r="BP13" s="2000"/>
      <c r="BQ13" s="2000"/>
      <c r="BR13" s="2001"/>
      <c r="BS13" s="1990"/>
      <c r="BT13" s="1991"/>
      <c r="BU13" s="167"/>
    </row>
    <row r="14" spans="1:94" s="191" customFormat="1" ht="35.5" thickBot="1" x14ac:dyDescent="0.4">
      <c r="A14" s="169" t="s">
        <v>1984</v>
      </c>
      <c r="B14" s="170" t="s">
        <v>1985</v>
      </c>
      <c r="C14" s="170" t="s">
        <v>1986</v>
      </c>
      <c r="D14" s="170" t="s">
        <v>1987</v>
      </c>
      <c r="E14" s="170" t="s">
        <v>1988</v>
      </c>
      <c r="F14" s="170" t="s">
        <v>1989</v>
      </c>
      <c r="G14" s="171" t="s">
        <v>245</v>
      </c>
      <c r="H14" s="172" t="s">
        <v>1990</v>
      </c>
      <c r="I14" s="173" t="s">
        <v>1162</v>
      </c>
      <c r="J14" s="173" t="s">
        <v>1991</v>
      </c>
      <c r="K14" s="174" t="s">
        <v>1963</v>
      </c>
      <c r="L14" s="175" t="s">
        <v>1992</v>
      </c>
      <c r="M14" s="176" t="s">
        <v>1993</v>
      </c>
      <c r="N14" s="177" t="s">
        <v>1994</v>
      </c>
      <c r="O14" s="178" t="s">
        <v>1995</v>
      </c>
      <c r="P14" s="179" t="s">
        <v>1996</v>
      </c>
      <c r="Q14" s="180" t="s">
        <v>1997</v>
      </c>
      <c r="R14" s="181" t="s">
        <v>1998</v>
      </c>
      <c r="S14" s="180" t="s">
        <v>1999</v>
      </c>
      <c r="T14" s="181" t="s">
        <v>2000</v>
      </c>
      <c r="U14" s="180" t="s">
        <v>2001</v>
      </c>
      <c r="V14" s="181" t="s">
        <v>2002</v>
      </c>
      <c r="W14" s="180" t="s">
        <v>2003</v>
      </c>
      <c r="X14" s="181" t="s">
        <v>2004</v>
      </c>
      <c r="Y14" s="180" t="s">
        <v>2005</v>
      </c>
      <c r="Z14" s="181" t="s">
        <v>2006</v>
      </c>
      <c r="AA14" s="180" t="s">
        <v>2007</v>
      </c>
      <c r="AB14" s="181" t="s">
        <v>2008</v>
      </c>
      <c r="AC14" s="180" t="s">
        <v>2009</v>
      </c>
      <c r="AD14" s="181" t="s">
        <v>2010</v>
      </c>
      <c r="AE14" s="180" t="s">
        <v>2011</v>
      </c>
      <c r="AF14" s="181" t="s">
        <v>2012</v>
      </c>
      <c r="AG14" s="180" t="s">
        <v>2013</v>
      </c>
      <c r="AH14" s="181" t="s">
        <v>2203</v>
      </c>
      <c r="AI14" s="180" t="s">
        <v>2204</v>
      </c>
      <c r="AJ14" s="181" t="s">
        <v>2205</v>
      </c>
      <c r="AK14" s="180" t="s">
        <v>2206</v>
      </c>
      <c r="AL14" s="181" t="s">
        <v>2207</v>
      </c>
      <c r="AM14" s="180" t="s">
        <v>2208</v>
      </c>
      <c r="AN14" s="181" t="s">
        <v>2209</v>
      </c>
      <c r="AO14" s="180" t="s">
        <v>2210</v>
      </c>
      <c r="AP14" s="181" t="s">
        <v>2211</v>
      </c>
      <c r="AQ14" s="180" t="s">
        <v>2212</v>
      </c>
      <c r="AR14" s="181" t="s">
        <v>2213</v>
      </c>
      <c r="AS14" s="180" t="s">
        <v>2214</v>
      </c>
      <c r="AT14" s="181" t="s">
        <v>2215</v>
      </c>
      <c r="AU14" s="180" t="s">
        <v>2216</v>
      </c>
      <c r="AV14" s="181" t="s">
        <v>2217</v>
      </c>
      <c r="AW14" s="180" t="s">
        <v>2218</v>
      </c>
      <c r="AX14" s="181" t="s">
        <v>2219</v>
      </c>
      <c r="AY14" s="180" t="s">
        <v>2220</v>
      </c>
      <c r="AZ14" s="181" t="s">
        <v>2221</v>
      </c>
      <c r="BA14" s="180" t="s">
        <v>2222</v>
      </c>
      <c r="BB14" s="181" t="s">
        <v>2223</v>
      </c>
      <c r="BC14" s="180" t="s">
        <v>2224</v>
      </c>
      <c r="BD14" s="181" t="s">
        <v>2225</v>
      </c>
      <c r="BE14" s="180" t="s">
        <v>2226</v>
      </c>
      <c r="BF14" s="181" t="s">
        <v>2227</v>
      </c>
      <c r="BG14" s="180" t="s">
        <v>2228</v>
      </c>
      <c r="BH14" s="181" t="s">
        <v>2229</v>
      </c>
      <c r="BI14" s="180" t="s">
        <v>2230</v>
      </c>
      <c r="BJ14" s="181" t="s">
        <v>2231</v>
      </c>
      <c r="BK14" s="180" t="s">
        <v>2232</v>
      </c>
      <c r="BL14" s="181" t="s">
        <v>2233</v>
      </c>
      <c r="BM14" s="180" t="s">
        <v>2234</v>
      </c>
      <c r="BN14" s="182" t="s">
        <v>2014</v>
      </c>
      <c r="BO14" s="183" t="s">
        <v>2015</v>
      </c>
      <c r="BP14" s="184" t="s">
        <v>2016</v>
      </c>
      <c r="BQ14" s="184" t="s">
        <v>1989</v>
      </c>
      <c r="BR14" s="185" t="s">
        <v>174</v>
      </c>
      <c r="BS14" s="186" t="s">
        <v>2176</v>
      </c>
      <c r="BT14" s="187" t="s">
        <v>2017</v>
      </c>
      <c r="BU14" s="188" t="s">
        <v>2018</v>
      </c>
      <c r="BV14" s="189" t="s">
        <v>2177</v>
      </c>
      <c r="BW14" s="190" t="s">
        <v>2019</v>
      </c>
    </row>
    <row r="15" spans="1:94" s="204" customFormat="1" ht="20.5" thickBot="1" x14ac:dyDescent="0.4">
      <c r="A15" s="192">
        <v>1</v>
      </c>
      <c r="B15" s="193">
        <v>3</v>
      </c>
      <c r="C15" s="193" t="str">
        <f t="shared" ref="C15:C32" si="46">G15&amp;"__"&amp;H15</f>
        <v>Acquia__Acquia</v>
      </c>
      <c r="D15" s="193" t="str">
        <f t="shared" ref="D15:D32" si="47">G15&amp;"__"&amp;H15&amp;"__"&amp;I15</f>
        <v>Acquia__Acquia__Acquia CDP</v>
      </c>
      <c r="E15" s="193">
        <v>21</v>
      </c>
      <c r="F15" s="193">
        <v>8</v>
      </c>
      <c r="G15" s="194" t="str">
        <f>'2. Roles &amp; Pricing'!D48</f>
        <v>Acquia</v>
      </c>
      <c r="H15" s="194" t="str">
        <f>'2. Roles &amp; Pricing'!E48</f>
        <v>Acquia</v>
      </c>
      <c r="I15" s="194" t="str">
        <f>'2. Roles &amp; Pricing'!F48</f>
        <v>Acquia CDP</v>
      </c>
      <c r="J15" s="196" t="str">
        <f>'2. Roles &amp; Pricing'!K48</f>
        <v>Data Analyst</v>
      </c>
      <c r="K15" s="197" t="str">
        <f>'2. Roles &amp; Pricing'!W48</f>
        <v>Onshore</v>
      </c>
      <c r="L15" s="195"/>
      <c r="M15" s="196"/>
      <c r="N15" s="707">
        <f>IFERROR('2. Roles &amp; Pricing'!F170/40,"")</f>
        <v>1</v>
      </c>
      <c r="O15" s="707">
        <f>IFERROR('2. Roles &amp; Pricing'!I170/40,"")</f>
        <v>1</v>
      </c>
      <c r="P15" s="707">
        <f>IFERROR('2. Roles &amp; Pricing'!K170/40,"")</f>
        <v>1</v>
      </c>
      <c r="Q15" s="707">
        <f>IFERROR('2. Roles &amp; Pricing'!L170/40,"")</f>
        <v>1</v>
      </c>
      <c r="R15" s="707">
        <f>IFERROR('2. Roles &amp; Pricing'!M170/40,"")</f>
        <v>1</v>
      </c>
      <c r="S15" s="2053">
        <f>IFERROR('2. Roles &amp; Pricing'!N170/40,"")</f>
        <v>1</v>
      </c>
      <c r="T15" s="707">
        <f>IFERROR('2. Roles &amp; Pricing'!O170/40,"")</f>
        <v>1</v>
      </c>
      <c r="U15" s="709">
        <f>IFERROR('2. Roles &amp; Pricing'!P170/40,"")</f>
        <v>1</v>
      </c>
      <c r="V15" s="709">
        <f>IFERROR('2. Roles &amp; Pricing'!Q170/40,"")</f>
        <v>1</v>
      </c>
      <c r="W15" s="709">
        <f>IFERROR('2. Roles &amp; Pricing'!R170/40,"")</f>
        <v>1</v>
      </c>
      <c r="X15" s="708">
        <f>IFERROR('2. Roles &amp; Pricing'!S170/40,"")</f>
        <v>1</v>
      </c>
      <c r="Y15" s="708">
        <f>IFERROR('2. Roles &amp; Pricing'!T170/40,"")</f>
        <v>1</v>
      </c>
      <c r="Z15" s="708">
        <f>IFERROR('2. Roles &amp; Pricing'!U170/40,"")</f>
        <v>1</v>
      </c>
      <c r="AA15" s="708">
        <f>IFERROR('2. Roles &amp; Pricing'!Y170/40,"")</f>
        <v>1</v>
      </c>
      <c r="AB15" s="708">
        <f>IFERROR('2. Roles &amp; Pricing'!Z170/40,"")</f>
        <v>1</v>
      </c>
      <c r="AC15" s="708">
        <f>IFERROR('2. Roles &amp; Pricing'!AA170/40,"")</f>
        <v>1</v>
      </c>
      <c r="AD15" s="708">
        <f>IFERROR('2. Roles &amp; Pricing'!AB170/40,"")</f>
        <v>1</v>
      </c>
      <c r="AE15" s="708">
        <f>IFERROR('2. Roles &amp; Pricing'!AG170/40,"")</f>
        <v>1</v>
      </c>
      <c r="AF15" s="708">
        <f>IFERROR('2. Roles &amp; Pricing'!AH170/40,"")</f>
        <v>1</v>
      </c>
      <c r="AG15" s="708">
        <f>IFERROR('2. Roles &amp; Pricing'!AI170/40,"")</f>
        <v>1</v>
      </c>
      <c r="AH15" s="708">
        <f>IFERROR('2. Roles &amp; Pricing'!AJ170/40,"")</f>
        <v>1</v>
      </c>
      <c r="AI15" s="708">
        <f>IFERROR('2. Roles &amp; Pricing'!AK170/40,"")</f>
        <v>1</v>
      </c>
      <c r="AJ15" s="708">
        <f>IFERROR('2. Roles &amp; Pricing'!AL170/40,"")</f>
        <v>1</v>
      </c>
      <c r="AK15" s="708">
        <f>IFERROR('2. Roles &amp; Pricing'!AM170/40,"")</f>
        <v>1</v>
      </c>
      <c r="AL15" s="708">
        <f>IFERROR('2. Roles &amp; Pricing'!AN170/40,"")</f>
        <v>1</v>
      </c>
      <c r="AM15" s="708">
        <f>IFERROR('2. Roles &amp; Pricing'!AO170/40,"")</f>
        <v>1</v>
      </c>
      <c r="AN15" s="708">
        <f>IFERROR('2. Roles &amp; Pricing'!AP170/40,"")</f>
        <v>1</v>
      </c>
      <c r="AO15" s="708">
        <f>IFERROR('2. Roles &amp; Pricing'!AQ170/40,"")</f>
        <v>1</v>
      </c>
      <c r="AP15" s="708">
        <f>IFERROR('2. Roles &amp; Pricing'!AR170/40,"")</f>
        <v>1</v>
      </c>
      <c r="AQ15" s="708">
        <f>IFERROR('2. Roles &amp; Pricing'!AS170/40,"")</f>
        <v>1</v>
      </c>
      <c r="AR15" s="708" t="str">
        <f>IFERROR('2. Roles &amp; Pricing'!AT170/40,"")</f>
        <v/>
      </c>
      <c r="AS15" s="708" t="str">
        <f>IFERROR('2. Roles &amp; Pricing'!AU170/40,"")</f>
        <v/>
      </c>
      <c r="AT15" s="708" t="str">
        <f>IFERROR('2. Roles &amp; Pricing'!AV170/40,"")</f>
        <v/>
      </c>
      <c r="AU15" s="708" t="str">
        <f>IFERROR('2. Roles &amp; Pricing'!AW170/40,"")</f>
        <v/>
      </c>
      <c r="AV15" s="708" t="str">
        <f>IFERROR('2. Roles &amp; Pricing'!AX170/40,"")</f>
        <v/>
      </c>
      <c r="AW15" s="708" t="str">
        <f>IFERROR('2. Roles &amp; Pricing'!AY170/40,"")</f>
        <v/>
      </c>
      <c r="AX15" s="708" t="str">
        <f>IFERROR('2. Roles &amp; Pricing'!AZ170/40,"")</f>
        <v/>
      </c>
      <c r="AY15" s="708" t="str">
        <f>IFERROR('2. Roles &amp; Pricing'!BA170/40,"")</f>
        <v/>
      </c>
      <c r="AZ15" s="708" t="str">
        <f>IFERROR('2. Roles &amp; Pricing'!BB170/40,"")</f>
        <v/>
      </c>
      <c r="BA15" s="708" t="str">
        <f>IFERROR('2. Roles &amp; Pricing'!BC170/40,"")</f>
        <v/>
      </c>
      <c r="BB15" s="708" t="str">
        <f>IFERROR('2. Roles &amp; Pricing'!BD170/40,"")</f>
        <v/>
      </c>
      <c r="BC15" s="708" t="str">
        <f>IFERROR('2. Roles &amp; Pricing'!BE170/40,"")</f>
        <v/>
      </c>
      <c r="BD15" s="708" t="str">
        <f>IFERROR('2. Roles &amp; Pricing'!BF170/40,"")</f>
        <v/>
      </c>
      <c r="BE15" s="708" t="str">
        <f>IFERROR('2. Roles &amp; Pricing'!BG170/40,"")</f>
        <v/>
      </c>
      <c r="BF15" s="708" t="str">
        <f>IFERROR('2. Roles &amp; Pricing'!BH170/40,"")</f>
        <v/>
      </c>
      <c r="BG15" s="708" t="str">
        <f>IFERROR('2. Roles &amp; Pricing'!BI170/40,"")</f>
        <v/>
      </c>
      <c r="BH15" s="708" t="str">
        <f>IFERROR('2. Roles &amp; Pricing'!BJ170/40,"")</f>
        <v/>
      </c>
      <c r="BI15" s="708" t="str">
        <f>IFERROR('2. Roles &amp; Pricing'!BK170/40,"")</f>
        <v/>
      </c>
      <c r="BJ15" s="708" t="str">
        <f>IFERROR('2. Roles &amp; Pricing'!BL170/40,"")</f>
        <v/>
      </c>
      <c r="BK15" s="708" t="str">
        <f>IFERROR('2. Roles &amp; Pricing'!BM170/40,"")</f>
        <v/>
      </c>
      <c r="BL15" s="708" t="str">
        <f>IFERROR('2. Roles &amp; Pricing'!BN170/40,"")</f>
        <v/>
      </c>
      <c r="BM15" s="708" t="str">
        <f>IFERROR('2. Roles &amp; Pricing'!BO170/40,"")</f>
        <v/>
      </c>
      <c r="BN15" s="626">
        <f>SUM(N15:BM15)</f>
        <v>30</v>
      </c>
      <c r="BO15" s="198">
        <f>+BN15*5</f>
        <v>150</v>
      </c>
      <c r="BP15" s="199">
        <f>'2. Roles &amp; Pricing'!D291</f>
        <v>192000</v>
      </c>
      <c r="BQ15" s="199">
        <f>'2. Roles &amp; Pricing'!F291</f>
        <v>102000</v>
      </c>
      <c r="BR15" s="623">
        <f>'2. Roles &amp; Pricing'!F291</f>
        <v>102000</v>
      </c>
      <c r="BS15" s="200">
        <f>'2. Roles &amp; Pricing'!I291</f>
        <v>160</v>
      </c>
      <c r="BT15" s="201">
        <f>BP15</f>
        <v>192000</v>
      </c>
      <c r="BU15" s="202">
        <f t="shared" ref="BU15:BU32" si="48">BO15*8</f>
        <v>1200</v>
      </c>
      <c r="BV15" s="203"/>
      <c r="BW15" s="197"/>
      <c r="BX15" s="144"/>
      <c r="BY15" s="144"/>
      <c r="BZ15" s="144"/>
      <c r="CA15" s="144"/>
      <c r="CB15" s="144"/>
      <c r="CC15" s="144"/>
      <c r="CD15" s="144"/>
      <c r="CE15" s="144"/>
      <c r="CF15" s="144"/>
      <c r="CG15" s="144"/>
      <c r="CH15" s="144"/>
      <c r="CI15" s="144"/>
      <c r="CJ15" s="144"/>
      <c r="CK15" s="144"/>
      <c r="CL15" s="144"/>
      <c r="CM15" s="144"/>
      <c r="CN15" s="144"/>
      <c r="CO15" s="144"/>
      <c r="CP15" s="144"/>
    </row>
    <row r="16" spans="1:94" s="204" customFormat="1" ht="20.5" thickBot="1" x14ac:dyDescent="0.4">
      <c r="A16" s="205">
        <v>2</v>
      </c>
      <c r="B16" s="206">
        <v>3</v>
      </c>
      <c r="C16" s="207" t="str">
        <f t="shared" si="46"/>
        <v>Acquia__Acquia</v>
      </c>
      <c r="D16" s="207" t="str">
        <f t="shared" si="47"/>
        <v>Acquia__Acquia__Acquia CDP</v>
      </c>
      <c r="E16" s="207">
        <v>21</v>
      </c>
      <c r="F16" s="207">
        <v>8</v>
      </c>
      <c r="G16" s="208" t="str">
        <f>'2. Roles &amp; Pricing'!D49</f>
        <v>Acquia</v>
      </c>
      <c r="H16" s="209" t="str">
        <f>'2. Roles &amp; Pricing'!E49</f>
        <v>Acquia</v>
      </c>
      <c r="I16" s="210" t="str">
        <f>'2. Roles &amp; Pricing'!F49</f>
        <v>Acquia CDP</v>
      </c>
      <c r="J16" s="210" t="str">
        <f>'2. Roles &amp; Pricing'!K49</f>
        <v>Data Analyst</v>
      </c>
      <c r="K16" s="197" t="str">
        <f>'2. Roles &amp; Pricing'!W49</f>
        <v>Offshore</v>
      </c>
      <c r="L16" s="209"/>
      <c r="M16" s="210"/>
      <c r="N16" s="707">
        <f>IFERROR('2. Roles &amp; Pricing'!F171/40,"")</f>
        <v>0</v>
      </c>
      <c r="O16" s="707">
        <f>IFERROR('2. Roles &amp; Pricing'!I171/40,"")</f>
        <v>0</v>
      </c>
      <c r="P16" s="707">
        <f>IFERROR('2. Roles &amp; Pricing'!K171/40,"")</f>
        <v>0</v>
      </c>
      <c r="Q16" s="707">
        <f>IFERROR('2. Roles &amp; Pricing'!L171/40,"")</f>
        <v>0</v>
      </c>
      <c r="R16" s="707">
        <f>IFERROR('2. Roles &amp; Pricing'!M171/40,"")</f>
        <v>1</v>
      </c>
      <c r="S16" s="707">
        <f>IFERROR('2. Roles &amp; Pricing'!N171/40,"")</f>
        <v>1</v>
      </c>
      <c r="T16" s="707">
        <f>IFERROR('2. Roles &amp; Pricing'!O171/40,"")</f>
        <v>1</v>
      </c>
      <c r="U16" s="709">
        <f>IFERROR('2. Roles &amp; Pricing'!P171/40,"")</f>
        <v>1</v>
      </c>
      <c r="V16" s="709">
        <f>IFERROR('2. Roles &amp; Pricing'!Q171/40,"")</f>
        <v>1</v>
      </c>
      <c r="W16" s="709">
        <f>IFERROR('2. Roles &amp; Pricing'!R171/40,"")</f>
        <v>1</v>
      </c>
      <c r="X16" s="708">
        <f>IFERROR('2. Roles &amp; Pricing'!S171/40,"")</f>
        <v>1</v>
      </c>
      <c r="Y16" s="708">
        <f>IFERROR('2. Roles &amp; Pricing'!T171/40,"")</f>
        <v>1</v>
      </c>
      <c r="Z16" s="708">
        <f>IFERROR('2. Roles &amp; Pricing'!U171/40,"")</f>
        <v>1</v>
      </c>
      <c r="AA16" s="708">
        <f>IFERROR('2. Roles &amp; Pricing'!Y171/40,"")</f>
        <v>0</v>
      </c>
      <c r="AB16" s="708">
        <f>IFERROR('2. Roles &amp; Pricing'!Z171/40,"")</f>
        <v>0</v>
      </c>
      <c r="AC16" s="708">
        <f>IFERROR('2. Roles &amp; Pricing'!AA171/40,"")</f>
        <v>0</v>
      </c>
      <c r="AD16" s="708">
        <f>IFERROR('2. Roles &amp; Pricing'!AB171/40,"")</f>
        <v>0</v>
      </c>
      <c r="AE16" s="708">
        <f>IFERROR('2. Roles &amp; Pricing'!AG171/40,"")</f>
        <v>1</v>
      </c>
      <c r="AF16" s="708">
        <f>IFERROR('2. Roles &amp; Pricing'!AH171/40,"")</f>
        <v>1</v>
      </c>
      <c r="AG16" s="708">
        <f>IFERROR('2. Roles &amp; Pricing'!AI171/40,"")</f>
        <v>1</v>
      </c>
      <c r="AH16" s="708">
        <f>IFERROR('2. Roles &amp; Pricing'!AJ171/40,"")</f>
        <v>1</v>
      </c>
      <c r="AI16" s="708">
        <f>IFERROR('2. Roles &amp; Pricing'!AK171/40,"")</f>
        <v>1</v>
      </c>
      <c r="AJ16" s="708">
        <f>IFERROR('2. Roles &amp; Pricing'!AL171/40,"")</f>
        <v>1</v>
      </c>
      <c r="AK16" s="708">
        <f>IFERROR('2. Roles &amp; Pricing'!AM171/40,"")</f>
        <v>1</v>
      </c>
      <c r="AL16" s="708">
        <f>IFERROR('2. Roles &amp; Pricing'!AN171/40,"")</f>
        <v>1</v>
      </c>
      <c r="AM16" s="708">
        <f>IFERROR('2. Roles &amp; Pricing'!AO171/40,"")</f>
        <v>1</v>
      </c>
      <c r="AN16" s="708">
        <f>IFERROR('2. Roles &amp; Pricing'!AP171/40,"")</f>
        <v>1</v>
      </c>
      <c r="AO16" s="708">
        <f>IFERROR('2. Roles &amp; Pricing'!AQ171/40,"")</f>
        <v>1</v>
      </c>
      <c r="AP16" s="708">
        <f>IFERROR('2. Roles &amp; Pricing'!AR171/40,"")</f>
        <v>1</v>
      </c>
      <c r="AQ16" s="708">
        <f>IFERROR('2. Roles &amp; Pricing'!AS171/40,"")</f>
        <v>1</v>
      </c>
      <c r="AR16" s="708" t="str">
        <f>IFERROR('2. Roles &amp; Pricing'!AT171/40,"")</f>
        <v/>
      </c>
      <c r="AS16" s="708" t="str">
        <f>IFERROR('2. Roles &amp; Pricing'!AU171/40,"")</f>
        <v/>
      </c>
      <c r="AT16" s="708" t="str">
        <f>IFERROR('2. Roles &amp; Pricing'!AV171/40,"")</f>
        <v/>
      </c>
      <c r="AU16" s="708" t="str">
        <f>IFERROR('2. Roles &amp; Pricing'!AW171/40,"")</f>
        <v/>
      </c>
      <c r="AV16" s="708" t="str">
        <f>IFERROR('2. Roles &amp; Pricing'!AX171/40,"")</f>
        <v/>
      </c>
      <c r="AW16" s="708" t="str">
        <f>IFERROR('2. Roles &amp; Pricing'!AY171/40,"")</f>
        <v/>
      </c>
      <c r="AX16" s="708" t="str">
        <f>IFERROR('2. Roles &amp; Pricing'!AZ171/40,"")</f>
        <v/>
      </c>
      <c r="AY16" s="708" t="str">
        <f>IFERROR('2. Roles &amp; Pricing'!BA171/40,"")</f>
        <v/>
      </c>
      <c r="AZ16" s="708" t="str">
        <f>IFERROR('2. Roles &amp; Pricing'!BB171/40,"")</f>
        <v/>
      </c>
      <c r="BA16" s="708" t="str">
        <f>IFERROR('2. Roles &amp; Pricing'!BC171/40,"")</f>
        <v/>
      </c>
      <c r="BB16" s="708" t="str">
        <f>IFERROR('2. Roles &amp; Pricing'!BD171/40,"")</f>
        <v/>
      </c>
      <c r="BC16" s="708" t="str">
        <f>IFERROR('2. Roles &amp; Pricing'!BE171/40,"")</f>
        <v/>
      </c>
      <c r="BD16" s="708" t="str">
        <f>IFERROR('2. Roles &amp; Pricing'!BF171/40,"")</f>
        <v/>
      </c>
      <c r="BE16" s="708" t="str">
        <f>IFERROR('2. Roles &amp; Pricing'!BG171/40,"")</f>
        <v/>
      </c>
      <c r="BF16" s="708" t="str">
        <f>IFERROR('2. Roles &amp; Pricing'!BH171/40,"")</f>
        <v/>
      </c>
      <c r="BG16" s="708" t="str">
        <f>IFERROR('2. Roles &amp; Pricing'!BI171/40,"")</f>
        <v/>
      </c>
      <c r="BH16" s="708" t="str">
        <f>IFERROR('2. Roles &amp; Pricing'!BJ171/40,"")</f>
        <v/>
      </c>
      <c r="BI16" s="708" t="str">
        <f>IFERROR('2. Roles &amp; Pricing'!BK171/40,"")</f>
        <v/>
      </c>
      <c r="BJ16" s="708" t="str">
        <f>IFERROR('2. Roles &amp; Pricing'!BL171/40,"")</f>
        <v/>
      </c>
      <c r="BK16" s="708" t="str">
        <f>IFERROR('2. Roles &amp; Pricing'!BM171/40,"")</f>
        <v/>
      </c>
      <c r="BL16" s="708" t="str">
        <f>IFERROR('2. Roles &amp; Pricing'!BN171/40,"")</f>
        <v/>
      </c>
      <c r="BM16" s="708" t="str">
        <f>IFERROR('2. Roles &amp; Pricing'!BO171/40,"")</f>
        <v/>
      </c>
      <c r="BN16" s="212">
        <f t="shared" ref="BN16:BN32" si="49">SUM(N16:BM16)</f>
        <v>22</v>
      </c>
      <c r="BO16" s="213">
        <f t="shared" ref="BO16:BO32" si="50">+BN16*5</f>
        <v>110</v>
      </c>
      <c r="BP16" s="199">
        <f>'2. Roles &amp; Pricing'!D292</f>
        <v>48400</v>
      </c>
      <c r="BQ16" s="199">
        <f>'2. Roles &amp; Pricing'!F292</f>
        <v>15840</v>
      </c>
      <c r="BR16" s="623">
        <f>'2. Roles &amp; Pricing'!F292</f>
        <v>15840</v>
      </c>
      <c r="BS16" s="200">
        <f>'2. Roles &amp; Pricing'!I292</f>
        <v>55</v>
      </c>
      <c r="BT16" s="201">
        <f t="shared" ref="BT16:BT32" si="51">BP16</f>
        <v>48400</v>
      </c>
      <c r="BU16" s="214">
        <f t="shared" si="48"/>
        <v>880</v>
      </c>
      <c r="BV16" s="215"/>
      <c r="BW16" s="211"/>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30.5" thickBot="1" x14ac:dyDescent="0.4">
      <c r="A17" s="205">
        <v>3</v>
      </c>
      <c r="B17" s="206">
        <v>3</v>
      </c>
      <c r="C17" s="207" t="str">
        <f t="shared" si="46"/>
        <v>Experience Design__Experience_Design</v>
      </c>
      <c r="D17" s="207" t="str">
        <f t="shared" si="47"/>
        <v>Experience Design__Experience_Design__Design</v>
      </c>
      <c r="E17" s="207">
        <v>20</v>
      </c>
      <c r="F17" s="207">
        <v>10</v>
      </c>
      <c r="G17" s="208" t="str">
        <f>'2. Roles &amp; Pricing'!D50</f>
        <v>Experience Design</v>
      </c>
      <c r="H17" s="209" t="str">
        <f>'2. Roles &amp; Pricing'!E50</f>
        <v>Experience_Design</v>
      </c>
      <c r="I17" s="210" t="str">
        <f>'2. Roles &amp; Pricing'!F50</f>
        <v>Design</v>
      </c>
      <c r="J17" s="210" t="str">
        <f>'2. Roles &amp; Pricing'!K50</f>
        <v>UX Designer</v>
      </c>
      <c r="K17" s="197" t="str">
        <f>'2. Roles &amp; Pricing'!W50</f>
        <v>Onshore</v>
      </c>
      <c r="L17" s="209"/>
      <c r="M17" s="210"/>
      <c r="N17" s="707">
        <f>IFERROR('2. Roles &amp; Pricing'!F172/40,"")</f>
        <v>1</v>
      </c>
      <c r="O17" s="707">
        <f>IFERROR('2. Roles &amp; Pricing'!I172/40,"")</f>
        <v>1</v>
      </c>
      <c r="P17" s="707">
        <f>IFERROR('2. Roles &amp; Pricing'!K172/40,"")</f>
        <v>1</v>
      </c>
      <c r="Q17" s="707">
        <f>IFERROR('2. Roles &amp; Pricing'!L172/40,"")</f>
        <v>1</v>
      </c>
      <c r="R17" s="707">
        <f>IFERROR('2. Roles &amp; Pricing'!M172/40,"")</f>
        <v>1</v>
      </c>
      <c r="S17" s="707">
        <f>IFERROR('2. Roles &amp; Pricing'!N172/40,"")</f>
        <v>1</v>
      </c>
      <c r="T17" s="707">
        <f>IFERROR('2. Roles &amp; Pricing'!O172/40,"")</f>
        <v>1</v>
      </c>
      <c r="U17" s="709">
        <f>IFERROR('2. Roles &amp; Pricing'!P172/40,"")</f>
        <v>1</v>
      </c>
      <c r="V17" s="709">
        <f>IFERROR('2. Roles &amp; Pricing'!Q172/40,"")</f>
        <v>1</v>
      </c>
      <c r="W17" s="709">
        <f>IFERROR('2. Roles &amp; Pricing'!R172/40,"")</f>
        <v>1</v>
      </c>
      <c r="X17" s="708">
        <f>IFERROR('2. Roles &amp; Pricing'!S172/40,"")</f>
        <v>1</v>
      </c>
      <c r="Y17" s="708">
        <f>IFERROR('2. Roles &amp; Pricing'!T172/40,"")</f>
        <v>1</v>
      </c>
      <c r="Z17" s="708">
        <f>IFERROR('2. Roles &amp; Pricing'!U172/40,"")</f>
        <v>1</v>
      </c>
      <c r="AA17" s="708">
        <f>IFERROR('2. Roles &amp; Pricing'!Y172/40,"")</f>
        <v>1</v>
      </c>
      <c r="AB17" s="708">
        <f>IFERROR('2. Roles &amp; Pricing'!Z172/40,"")</f>
        <v>1</v>
      </c>
      <c r="AC17" s="708">
        <f>IFERROR('2. Roles &amp; Pricing'!AA172/40,"")</f>
        <v>1</v>
      </c>
      <c r="AD17" s="708">
        <f>IFERROR('2. Roles &amp; Pricing'!AB172/40,"")</f>
        <v>1</v>
      </c>
      <c r="AE17" s="708">
        <f>IFERROR('2. Roles &amp; Pricing'!AG172/40,"")</f>
        <v>1</v>
      </c>
      <c r="AF17" s="708">
        <f>IFERROR('2. Roles &amp; Pricing'!AH172/40,"")</f>
        <v>1</v>
      </c>
      <c r="AG17" s="708">
        <f>IFERROR('2. Roles &amp; Pricing'!AI172/40,"")</f>
        <v>1</v>
      </c>
      <c r="AH17" s="708">
        <f>IFERROR('2. Roles &amp; Pricing'!AJ172/40,"")</f>
        <v>1</v>
      </c>
      <c r="AI17" s="708">
        <f>IFERROR('2. Roles &amp; Pricing'!AK172/40,"")</f>
        <v>1</v>
      </c>
      <c r="AJ17" s="708">
        <f>IFERROR('2. Roles &amp; Pricing'!AL172/40,"")</f>
        <v>1</v>
      </c>
      <c r="AK17" s="708">
        <f>IFERROR('2. Roles &amp; Pricing'!AM172/40,"")</f>
        <v>1</v>
      </c>
      <c r="AL17" s="708">
        <f>IFERROR('2. Roles &amp; Pricing'!AN172/40,"")</f>
        <v>1</v>
      </c>
      <c r="AM17" s="708">
        <f>IFERROR('2. Roles &amp; Pricing'!AO172/40,"")</f>
        <v>1</v>
      </c>
      <c r="AN17" s="708">
        <f>IFERROR('2. Roles &amp; Pricing'!AP172/40,"")</f>
        <v>1</v>
      </c>
      <c r="AO17" s="708">
        <f>IFERROR('2. Roles &amp; Pricing'!AQ172/40,"")</f>
        <v>1</v>
      </c>
      <c r="AP17" s="708">
        <f>IFERROR('2. Roles &amp; Pricing'!AR172/40,"")</f>
        <v>1</v>
      </c>
      <c r="AQ17" s="708">
        <f>IFERROR('2. Roles &amp; Pricing'!AS172/40,"")</f>
        <v>1</v>
      </c>
      <c r="AR17" s="708" t="str">
        <f>IFERROR('2. Roles &amp; Pricing'!AT172/40,"")</f>
        <v/>
      </c>
      <c r="AS17" s="708" t="str">
        <f>IFERROR('2. Roles &amp; Pricing'!AU172/40,"")</f>
        <v/>
      </c>
      <c r="AT17" s="708" t="str">
        <f>IFERROR('2. Roles &amp; Pricing'!AV172/40,"")</f>
        <v/>
      </c>
      <c r="AU17" s="708" t="str">
        <f>IFERROR('2. Roles &amp; Pricing'!AW172/40,"")</f>
        <v/>
      </c>
      <c r="AV17" s="708" t="str">
        <f>IFERROR('2. Roles &amp; Pricing'!AX172/40,"")</f>
        <v/>
      </c>
      <c r="AW17" s="708" t="str">
        <f>IFERROR('2. Roles &amp; Pricing'!AY172/40,"")</f>
        <v/>
      </c>
      <c r="AX17" s="708" t="str">
        <f>IFERROR('2. Roles &amp; Pricing'!AZ172/40,"")</f>
        <v/>
      </c>
      <c r="AY17" s="708" t="str">
        <f>IFERROR('2. Roles &amp; Pricing'!BA172/40,"")</f>
        <v/>
      </c>
      <c r="AZ17" s="708" t="str">
        <f>IFERROR('2. Roles &amp; Pricing'!BB172/40,"")</f>
        <v/>
      </c>
      <c r="BA17" s="708" t="str">
        <f>IFERROR('2. Roles &amp; Pricing'!BC172/40,"")</f>
        <v/>
      </c>
      <c r="BB17" s="708" t="str">
        <f>IFERROR('2. Roles &amp; Pricing'!BD172/40,"")</f>
        <v/>
      </c>
      <c r="BC17" s="708" t="str">
        <f>IFERROR('2. Roles &amp; Pricing'!BE172/40,"")</f>
        <v/>
      </c>
      <c r="BD17" s="708" t="str">
        <f>IFERROR('2. Roles &amp; Pricing'!BF172/40,"")</f>
        <v/>
      </c>
      <c r="BE17" s="708" t="str">
        <f>IFERROR('2. Roles &amp; Pricing'!BG172/40,"")</f>
        <v/>
      </c>
      <c r="BF17" s="708" t="str">
        <f>IFERROR('2. Roles &amp; Pricing'!BH172/40,"")</f>
        <v/>
      </c>
      <c r="BG17" s="708" t="str">
        <f>IFERROR('2. Roles &amp; Pricing'!BI172/40,"")</f>
        <v/>
      </c>
      <c r="BH17" s="708" t="str">
        <f>IFERROR('2. Roles &amp; Pricing'!BJ172/40,"")</f>
        <v/>
      </c>
      <c r="BI17" s="708" t="str">
        <f>IFERROR('2. Roles &amp; Pricing'!BK172/40,"")</f>
        <v/>
      </c>
      <c r="BJ17" s="708" t="str">
        <f>IFERROR('2. Roles &amp; Pricing'!BL172/40,"")</f>
        <v/>
      </c>
      <c r="BK17" s="708" t="str">
        <f>IFERROR('2. Roles &amp; Pricing'!BM172/40,"")</f>
        <v/>
      </c>
      <c r="BL17" s="708" t="str">
        <f>IFERROR('2. Roles &amp; Pricing'!BN172/40,"")</f>
        <v/>
      </c>
      <c r="BM17" s="708" t="str">
        <f>IFERROR('2. Roles &amp; Pricing'!BO172/40,"")</f>
        <v/>
      </c>
      <c r="BN17" s="212">
        <f t="shared" si="49"/>
        <v>30</v>
      </c>
      <c r="BO17" s="213">
        <f t="shared" si="50"/>
        <v>150</v>
      </c>
      <c r="BP17" s="199">
        <f>'2. Roles &amp; Pricing'!D293</f>
        <v>204000</v>
      </c>
      <c r="BQ17" s="199">
        <f>'2. Roles &amp; Pricing'!F293</f>
        <v>84000</v>
      </c>
      <c r="BR17" s="623">
        <f>'2. Roles &amp; Pricing'!F293</f>
        <v>84000</v>
      </c>
      <c r="BS17" s="200">
        <f>'2. Roles &amp; Pricing'!I293</f>
        <v>170</v>
      </c>
      <c r="BT17" s="201">
        <f t="shared" si="51"/>
        <v>204000</v>
      </c>
      <c r="BU17" s="214">
        <f t="shared" si="48"/>
        <v>1200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0.5" thickBot="1" x14ac:dyDescent="0.4">
      <c r="A18" s="205">
        <v>4</v>
      </c>
      <c r="B18" s="206">
        <v>3</v>
      </c>
      <c r="C18" s="207" t="str">
        <f t="shared" si="46"/>
        <v>Experience Design__Experience_Design</v>
      </c>
      <c r="D18" s="207" t="str">
        <f t="shared" si="47"/>
        <v>Experience Design__Experience_Design__Design</v>
      </c>
      <c r="E18" s="207">
        <v>21</v>
      </c>
      <c r="F18" s="207">
        <v>8</v>
      </c>
      <c r="G18" s="208" t="str">
        <f>'2. Roles &amp; Pricing'!D51</f>
        <v>Experience Design</v>
      </c>
      <c r="H18" s="209" t="str">
        <f>'2. Roles &amp; Pricing'!E51</f>
        <v>Experience_Design</v>
      </c>
      <c r="I18" s="210" t="str">
        <f>'2. Roles &amp; Pricing'!F51</f>
        <v>Design</v>
      </c>
      <c r="J18" s="210" t="str">
        <f>'2. Roles &amp; Pricing'!K51</f>
        <v>UX Designer</v>
      </c>
      <c r="K18" s="197" t="str">
        <f>'2. Roles &amp; Pricing'!W51</f>
        <v>Offshore</v>
      </c>
      <c r="L18" s="209"/>
      <c r="M18" s="210"/>
      <c r="N18" s="707">
        <f>IFERROR('2. Roles &amp; Pricing'!F173/40,"")</f>
        <v>1</v>
      </c>
      <c r="O18" s="707">
        <f>IFERROR('2. Roles &amp; Pricing'!I173/40,"")</f>
        <v>1</v>
      </c>
      <c r="P18" s="707">
        <f>IFERROR('2. Roles &amp; Pricing'!K173/40,"")</f>
        <v>1</v>
      </c>
      <c r="Q18" s="707">
        <f>IFERROR('2. Roles &amp; Pricing'!L173/40,"")</f>
        <v>1</v>
      </c>
      <c r="R18" s="707">
        <f>IFERROR('2. Roles &amp; Pricing'!M173/40,"")</f>
        <v>1</v>
      </c>
      <c r="S18" s="707">
        <f>IFERROR('2. Roles &amp; Pricing'!N173/40,"")</f>
        <v>1</v>
      </c>
      <c r="T18" s="707">
        <f>IFERROR('2. Roles &amp; Pricing'!O173/40,"")</f>
        <v>1</v>
      </c>
      <c r="U18" s="709">
        <f>IFERROR('2. Roles &amp; Pricing'!P173/40,"")</f>
        <v>1</v>
      </c>
      <c r="V18" s="709">
        <f>IFERROR('2. Roles &amp; Pricing'!Q173/40,"")</f>
        <v>1</v>
      </c>
      <c r="W18" s="709">
        <f>IFERROR('2. Roles &amp; Pricing'!R173/40,"")</f>
        <v>1</v>
      </c>
      <c r="X18" s="708">
        <f>IFERROR('2. Roles &amp; Pricing'!S173/40,"")</f>
        <v>1</v>
      </c>
      <c r="Y18" s="708">
        <f>IFERROR('2. Roles &amp; Pricing'!T173/40,"")</f>
        <v>1</v>
      </c>
      <c r="Z18" s="708">
        <f>IFERROR('2. Roles &amp; Pricing'!U173/40,"")</f>
        <v>1</v>
      </c>
      <c r="AA18" s="708">
        <f>IFERROR('2. Roles &amp; Pricing'!Y173/40,"")</f>
        <v>1</v>
      </c>
      <c r="AB18" s="708">
        <f>IFERROR('2. Roles &amp; Pricing'!Z173/40,"")</f>
        <v>1</v>
      </c>
      <c r="AC18" s="708">
        <f>IFERROR('2. Roles &amp; Pricing'!AA173/40,"")</f>
        <v>1</v>
      </c>
      <c r="AD18" s="708">
        <f>IFERROR('2. Roles &amp; Pricing'!AB173/40,"")</f>
        <v>1</v>
      </c>
      <c r="AE18" s="708">
        <f>IFERROR('2. Roles &amp; Pricing'!AG173/40,"")</f>
        <v>1</v>
      </c>
      <c r="AF18" s="708">
        <f>IFERROR('2. Roles &amp; Pricing'!AH173/40,"")</f>
        <v>1</v>
      </c>
      <c r="AG18" s="708">
        <f>IFERROR('2. Roles &amp; Pricing'!AI173/40,"")</f>
        <v>1</v>
      </c>
      <c r="AH18" s="708">
        <f>IFERROR('2. Roles &amp; Pricing'!AJ173/40,"")</f>
        <v>1</v>
      </c>
      <c r="AI18" s="708">
        <f>IFERROR('2. Roles &amp; Pricing'!AK173/40,"")</f>
        <v>1</v>
      </c>
      <c r="AJ18" s="708">
        <f>IFERROR('2. Roles &amp; Pricing'!AL173/40,"")</f>
        <v>1</v>
      </c>
      <c r="AK18" s="708">
        <f>IFERROR('2. Roles &amp; Pricing'!AM173/40,"")</f>
        <v>1</v>
      </c>
      <c r="AL18" s="708">
        <f>IFERROR('2. Roles &amp; Pricing'!AN173/40,"")</f>
        <v>1</v>
      </c>
      <c r="AM18" s="708">
        <f>IFERROR('2. Roles &amp; Pricing'!AO173/40,"")</f>
        <v>1</v>
      </c>
      <c r="AN18" s="708">
        <f>IFERROR('2. Roles &amp; Pricing'!AP173/40,"")</f>
        <v>1</v>
      </c>
      <c r="AO18" s="708">
        <f>IFERROR('2. Roles &amp; Pricing'!AQ173/40,"")</f>
        <v>1</v>
      </c>
      <c r="AP18" s="708">
        <f>IFERROR('2. Roles &amp; Pricing'!AR173/40,"")</f>
        <v>1</v>
      </c>
      <c r="AQ18" s="708">
        <f>IFERROR('2. Roles &amp; Pricing'!AS173/40,"")</f>
        <v>1</v>
      </c>
      <c r="AR18" s="708" t="str">
        <f>IFERROR('2. Roles &amp; Pricing'!AT173/40,"")</f>
        <v/>
      </c>
      <c r="AS18" s="708" t="str">
        <f>IFERROR('2. Roles &amp; Pricing'!AU173/40,"")</f>
        <v/>
      </c>
      <c r="AT18" s="708" t="str">
        <f>IFERROR('2. Roles &amp; Pricing'!AV173/40,"")</f>
        <v/>
      </c>
      <c r="AU18" s="708" t="str">
        <f>IFERROR('2. Roles &amp; Pricing'!AW173/40,"")</f>
        <v/>
      </c>
      <c r="AV18" s="708" t="str">
        <f>IFERROR('2. Roles &amp; Pricing'!AX173/40,"")</f>
        <v/>
      </c>
      <c r="AW18" s="708" t="str">
        <f>IFERROR('2. Roles &amp; Pricing'!AY173/40,"")</f>
        <v/>
      </c>
      <c r="AX18" s="708" t="str">
        <f>IFERROR('2. Roles &amp; Pricing'!AZ173/40,"")</f>
        <v/>
      </c>
      <c r="AY18" s="708" t="str">
        <f>IFERROR('2. Roles &amp; Pricing'!BA173/40,"")</f>
        <v/>
      </c>
      <c r="AZ18" s="708" t="str">
        <f>IFERROR('2. Roles &amp; Pricing'!BB173/40,"")</f>
        <v/>
      </c>
      <c r="BA18" s="708" t="str">
        <f>IFERROR('2. Roles &amp; Pricing'!BC173/40,"")</f>
        <v/>
      </c>
      <c r="BB18" s="708" t="str">
        <f>IFERROR('2. Roles &amp; Pricing'!BD173/40,"")</f>
        <v/>
      </c>
      <c r="BC18" s="708" t="str">
        <f>IFERROR('2. Roles &amp; Pricing'!BE173/40,"")</f>
        <v/>
      </c>
      <c r="BD18" s="708" t="str">
        <f>IFERROR('2. Roles &amp; Pricing'!BF173/40,"")</f>
        <v/>
      </c>
      <c r="BE18" s="708" t="str">
        <f>IFERROR('2. Roles &amp; Pricing'!BG173/40,"")</f>
        <v/>
      </c>
      <c r="BF18" s="708" t="str">
        <f>IFERROR('2. Roles &amp; Pricing'!BH173/40,"")</f>
        <v/>
      </c>
      <c r="BG18" s="708" t="str">
        <f>IFERROR('2. Roles &amp; Pricing'!BI173/40,"")</f>
        <v/>
      </c>
      <c r="BH18" s="708" t="str">
        <f>IFERROR('2. Roles &amp; Pricing'!BJ173/40,"")</f>
        <v/>
      </c>
      <c r="BI18" s="708" t="str">
        <f>IFERROR('2. Roles &amp; Pricing'!BK173/40,"")</f>
        <v/>
      </c>
      <c r="BJ18" s="708" t="str">
        <f>IFERROR('2. Roles &amp; Pricing'!BL173/40,"")</f>
        <v/>
      </c>
      <c r="BK18" s="708" t="str">
        <f>IFERROR('2. Roles &amp; Pricing'!BM173/40,"")</f>
        <v/>
      </c>
      <c r="BL18" s="708" t="str">
        <f>IFERROR('2. Roles &amp; Pricing'!BN173/40,"")</f>
        <v/>
      </c>
      <c r="BM18" s="708" t="str">
        <f>IFERROR('2. Roles &amp; Pricing'!BO173/40,"")</f>
        <v/>
      </c>
      <c r="BN18" s="212">
        <f t="shared" si="49"/>
        <v>30</v>
      </c>
      <c r="BO18" s="213">
        <f t="shared" si="50"/>
        <v>150</v>
      </c>
      <c r="BP18" s="199">
        <f>'2. Roles &amp; Pricing'!D294</f>
        <v>66000</v>
      </c>
      <c r="BQ18" s="199">
        <f>'2. Roles &amp; Pricing'!F294</f>
        <v>21600</v>
      </c>
      <c r="BR18" s="623">
        <f>'2. Roles &amp; Pricing'!F294</f>
        <v>21600</v>
      </c>
      <c r="BS18" s="200">
        <f>'2. Roles &amp; Pricing'!I294</f>
        <v>55</v>
      </c>
      <c r="BT18" s="201">
        <f t="shared" si="51"/>
        <v>66000</v>
      </c>
      <c r="BU18" s="214">
        <f t="shared" si="48"/>
        <v>1200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14.5" thickBot="1" x14ac:dyDescent="0.4">
      <c r="A19" s="205">
        <v>5</v>
      </c>
      <c r="B19" s="206">
        <v>3</v>
      </c>
      <c r="C19" s="207" t="str">
        <f t="shared" si="46"/>
        <v>Adobe__Adobe</v>
      </c>
      <c r="D19" s="207" t="str">
        <f t="shared" si="47"/>
        <v>Adobe__Adobe__Adobe UI</v>
      </c>
      <c r="E19" s="207">
        <v>21</v>
      </c>
      <c r="F19" s="207">
        <v>8</v>
      </c>
      <c r="G19" s="208" t="str">
        <f>'2. Roles &amp; Pricing'!D52</f>
        <v>Adobe</v>
      </c>
      <c r="H19" s="209" t="str">
        <f>'2. Roles &amp; Pricing'!E52</f>
        <v>Adobe</v>
      </c>
      <c r="I19" s="210" t="str">
        <f>'2. Roles &amp; Pricing'!F52</f>
        <v>Adobe UI</v>
      </c>
      <c r="J19" s="210" t="str">
        <f>'2. Roles &amp; Pricing'!K52</f>
        <v>Technical Lead</v>
      </c>
      <c r="K19" s="197" t="str">
        <f>'2. Roles &amp; Pricing'!W52</f>
        <v>Onshore</v>
      </c>
      <c r="L19" s="209"/>
      <c r="M19" s="210"/>
      <c r="N19" s="707">
        <f>IFERROR('2. Roles &amp; Pricing'!F174/40,"")</f>
        <v>1</v>
      </c>
      <c r="O19" s="707">
        <f>IFERROR('2. Roles &amp; Pricing'!I174/40,"")</f>
        <v>1</v>
      </c>
      <c r="P19" s="707">
        <f>IFERROR('2. Roles &amp; Pricing'!K174/40,"")</f>
        <v>1</v>
      </c>
      <c r="Q19" s="707">
        <f>IFERROR('2. Roles &amp; Pricing'!L174/40,"")</f>
        <v>1</v>
      </c>
      <c r="R19" s="707">
        <f>IFERROR('2. Roles &amp; Pricing'!M174/40,"")</f>
        <v>1</v>
      </c>
      <c r="S19" s="707">
        <f>IFERROR('2. Roles &amp; Pricing'!N174/40,"")</f>
        <v>1</v>
      </c>
      <c r="T19" s="707">
        <f>IFERROR('2. Roles &amp; Pricing'!O174/40,"")</f>
        <v>1</v>
      </c>
      <c r="U19" s="709">
        <f>IFERROR('2. Roles &amp; Pricing'!P174/40,"")</f>
        <v>1</v>
      </c>
      <c r="V19" s="709">
        <f>IFERROR('2. Roles &amp; Pricing'!Q174/40,"")</f>
        <v>1</v>
      </c>
      <c r="W19" s="709">
        <f>IFERROR('2. Roles &amp; Pricing'!R174/40,"")</f>
        <v>1</v>
      </c>
      <c r="X19" s="708">
        <f>IFERROR('2. Roles &amp; Pricing'!S174/40,"")</f>
        <v>1</v>
      </c>
      <c r="Y19" s="708">
        <f>IFERROR('2. Roles &amp; Pricing'!T174/40,"")</f>
        <v>1</v>
      </c>
      <c r="Z19" s="708">
        <f>IFERROR('2. Roles &amp; Pricing'!U174/40,"")</f>
        <v>1</v>
      </c>
      <c r="AA19" s="708">
        <f>IFERROR('2. Roles &amp; Pricing'!Y174/40,"")</f>
        <v>1</v>
      </c>
      <c r="AB19" s="708">
        <f>IFERROR('2. Roles &amp; Pricing'!Z174/40,"")</f>
        <v>1</v>
      </c>
      <c r="AC19" s="708">
        <f>IFERROR('2. Roles &amp; Pricing'!AA174/40,"")</f>
        <v>1</v>
      </c>
      <c r="AD19" s="708">
        <f>IFERROR('2. Roles &amp; Pricing'!AB174/40,"")</f>
        <v>1</v>
      </c>
      <c r="AE19" s="708">
        <f>IFERROR('2. Roles &amp; Pricing'!AG174/40,"")</f>
        <v>1</v>
      </c>
      <c r="AF19" s="708">
        <f>IFERROR('2. Roles &amp; Pricing'!AH174/40,"")</f>
        <v>1</v>
      </c>
      <c r="AG19" s="708">
        <f>IFERROR('2. Roles &amp; Pricing'!AI174/40,"")</f>
        <v>1</v>
      </c>
      <c r="AH19" s="708">
        <f>IFERROR('2. Roles &amp; Pricing'!AJ174/40,"")</f>
        <v>1</v>
      </c>
      <c r="AI19" s="708">
        <f>IFERROR('2. Roles &amp; Pricing'!AK174/40,"")</f>
        <v>1</v>
      </c>
      <c r="AJ19" s="708">
        <f>IFERROR('2. Roles &amp; Pricing'!AL174/40,"")</f>
        <v>1</v>
      </c>
      <c r="AK19" s="708">
        <f>IFERROR('2. Roles &amp; Pricing'!AM174/40,"")</f>
        <v>1</v>
      </c>
      <c r="AL19" s="708">
        <f>IFERROR('2. Roles &amp; Pricing'!AN174/40,"")</f>
        <v>1</v>
      </c>
      <c r="AM19" s="708">
        <f>IFERROR('2. Roles &amp; Pricing'!AO174/40,"")</f>
        <v>1</v>
      </c>
      <c r="AN19" s="708">
        <f>IFERROR('2. Roles &amp; Pricing'!AP174/40,"")</f>
        <v>1</v>
      </c>
      <c r="AO19" s="708">
        <f>IFERROR('2. Roles &amp; Pricing'!AQ174/40,"")</f>
        <v>1</v>
      </c>
      <c r="AP19" s="708">
        <f>IFERROR('2. Roles &amp; Pricing'!AR174/40,"")</f>
        <v>1</v>
      </c>
      <c r="AQ19" s="708">
        <f>IFERROR('2. Roles &amp; Pricing'!AS174/40,"")</f>
        <v>1</v>
      </c>
      <c r="AR19" s="708" t="str">
        <f>IFERROR('2. Roles &amp; Pricing'!AT174/40,"")</f>
        <v/>
      </c>
      <c r="AS19" s="708" t="str">
        <f>IFERROR('2. Roles &amp; Pricing'!AU174/40,"")</f>
        <v/>
      </c>
      <c r="AT19" s="708" t="str">
        <f>IFERROR('2. Roles &amp; Pricing'!AV174/40,"")</f>
        <v/>
      </c>
      <c r="AU19" s="708" t="str">
        <f>IFERROR('2. Roles &amp; Pricing'!AW174/40,"")</f>
        <v/>
      </c>
      <c r="AV19" s="708" t="str">
        <f>IFERROR('2. Roles &amp; Pricing'!AX174/40,"")</f>
        <v/>
      </c>
      <c r="AW19" s="708" t="str">
        <f>IFERROR('2. Roles &amp; Pricing'!AY174/40,"")</f>
        <v/>
      </c>
      <c r="AX19" s="708" t="str">
        <f>IFERROR('2. Roles &amp; Pricing'!AZ174/40,"")</f>
        <v/>
      </c>
      <c r="AY19" s="708" t="str">
        <f>IFERROR('2. Roles &amp; Pricing'!BA174/40,"")</f>
        <v/>
      </c>
      <c r="AZ19" s="708" t="str">
        <f>IFERROR('2. Roles &amp; Pricing'!BB174/40,"")</f>
        <v/>
      </c>
      <c r="BA19" s="708" t="str">
        <f>IFERROR('2. Roles &amp; Pricing'!BC174/40,"")</f>
        <v/>
      </c>
      <c r="BB19" s="708" t="str">
        <f>IFERROR('2. Roles &amp; Pricing'!BD174/40,"")</f>
        <v/>
      </c>
      <c r="BC19" s="708" t="str">
        <f>IFERROR('2. Roles &amp; Pricing'!BE174/40,"")</f>
        <v/>
      </c>
      <c r="BD19" s="708" t="str">
        <f>IFERROR('2. Roles &amp; Pricing'!BF174/40,"")</f>
        <v/>
      </c>
      <c r="BE19" s="708" t="str">
        <f>IFERROR('2. Roles &amp; Pricing'!BG174/40,"")</f>
        <v/>
      </c>
      <c r="BF19" s="708" t="str">
        <f>IFERROR('2. Roles &amp; Pricing'!BH174/40,"")</f>
        <v/>
      </c>
      <c r="BG19" s="708" t="str">
        <f>IFERROR('2. Roles &amp; Pricing'!BI174/40,"")</f>
        <v/>
      </c>
      <c r="BH19" s="708" t="str">
        <f>IFERROR('2. Roles &amp; Pricing'!BJ174/40,"")</f>
        <v/>
      </c>
      <c r="BI19" s="708" t="str">
        <f>IFERROR('2. Roles &amp; Pricing'!BK174/40,"")</f>
        <v/>
      </c>
      <c r="BJ19" s="708" t="str">
        <f>IFERROR('2. Roles &amp; Pricing'!BL174/40,"")</f>
        <v/>
      </c>
      <c r="BK19" s="708" t="str">
        <f>IFERROR('2. Roles &amp; Pricing'!BM174/40,"")</f>
        <v/>
      </c>
      <c r="BL19" s="708" t="str">
        <f>IFERROR('2. Roles &amp; Pricing'!BN174/40,"")</f>
        <v/>
      </c>
      <c r="BM19" s="708" t="str">
        <f>IFERROR('2. Roles &amp; Pricing'!BO174/40,"")</f>
        <v/>
      </c>
      <c r="BN19" s="212">
        <f t="shared" si="49"/>
        <v>30</v>
      </c>
      <c r="BO19" s="213">
        <f t="shared" si="50"/>
        <v>150</v>
      </c>
      <c r="BP19" s="199">
        <f>'2. Roles &amp; Pricing'!D295</f>
        <v>222000</v>
      </c>
      <c r="BQ19" s="199">
        <f>'2. Roles &amp; Pricing'!F295</f>
        <v>108000</v>
      </c>
      <c r="BR19" s="623">
        <f>'2. Roles &amp; Pricing'!F295</f>
        <v>108000</v>
      </c>
      <c r="BS19" s="200">
        <f>'2. Roles &amp; Pricing'!I295</f>
        <v>185</v>
      </c>
      <c r="BT19" s="201">
        <f t="shared" si="51"/>
        <v>222000</v>
      </c>
      <c r="BU19" s="214">
        <f t="shared" si="48"/>
        <v>1200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28.5" thickBot="1" x14ac:dyDescent="0.4">
      <c r="A20" s="205">
        <v>6</v>
      </c>
      <c r="B20" s="206">
        <v>3</v>
      </c>
      <c r="C20" s="207" t="str">
        <f t="shared" si="46"/>
        <v>MACH__MACH</v>
      </c>
      <c r="D20" s="207" t="str">
        <f t="shared" si="47"/>
        <v>MACH__MACH__MACH DevOps</v>
      </c>
      <c r="E20" s="207">
        <v>21</v>
      </c>
      <c r="F20" s="207">
        <v>8</v>
      </c>
      <c r="G20" s="208" t="str">
        <f>'2. Roles &amp; Pricing'!D53</f>
        <v>MACH</v>
      </c>
      <c r="H20" s="209" t="str">
        <f>'2. Roles &amp; Pricing'!E53</f>
        <v>MACH</v>
      </c>
      <c r="I20" s="210" t="str">
        <f>'2. Roles &amp; Pricing'!F53</f>
        <v>MACH DevOps</v>
      </c>
      <c r="J20" s="210" t="str">
        <f>'2. Roles &amp; Pricing'!K53</f>
        <v>Associate DevOps Engineer</v>
      </c>
      <c r="K20" s="197" t="str">
        <f>'2. Roles &amp; Pricing'!W53</f>
        <v>Offshore</v>
      </c>
      <c r="L20" s="209"/>
      <c r="M20" s="210"/>
      <c r="N20" s="707">
        <f>IFERROR('2. Roles &amp; Pricing'!F175/40,"")</f>
        <v>0.8</v>
      </c>
      <c r="O20" s="707">
        <f>IFERROR('2. Roles &amp; Pricing'!I175/40,"")</f>
        <v>0.8</v>
      </c>
      <c r="P20" s="707">
        <f>IFERROR('2. Roles &amp; Pricing'!K175/40,"")</f>
        <v>0.8</v>
      </c>
      <c r="Q20" s="707">
        <f>IFERROR('2. Roles &amp; Pricing'!L175/40,"")</f>
        <v>0.8</v>
      </c>
      <c r="R20" s="707">
        <f>IFERROR('2. Roles &amp; Pricing'!M175/40,"")</f>
        <v>0.8</v>
      </c>
      <c r="S20" s="707">
        <f>IFERROR('2. Roles &amp; Pricing'!N175/40,"")</f>
        <v>0.8</v>
      </c>
      <c r="T20" s="707">
        <f>IFERROR('2. Roles &amp; Pricing'!O175/40,"")</f>
        <v>0.8</v>
      </c>
      <c r="U20" s="709">
        <f>IFERROR('2. Roles &amp; Pricing'!P175/40,"")</f>
        <v>0.8</v>
      </c>
      <c r="V20" s="709">
        <f>IFERROR('2. Roles &amp; Pricing'!Q175/40,"")</f>
        <v>0.8</v>
      </c>
      <c r="W20" s="709">
        <f>IFERROR('2. Roles &amp; Pricing'!R175/40,"")</f>
        <v>0.8</v>
      </c>
      <c r="X20" s="708">
        <f>IFERROR('2. Roles &amp; Pricing'!S175/40,"")</f>
        <v>0.8</v>
      </c>
      <c r="Y20" s="708">
        <f>IFERROR('2. Roles &amp; Pricing'!T175/40,"")</f>
        <v>0.8</v>
      </c>
      <c r="Z20" s="708">
        <f>IFERROR('2. Roles &amp; Pricing'!U175/40,"")</f>
        <v>0.8</v>
      </c>
      <c r="AA20" s="708">
        <f>IFERROR('2. Roles &amp; Pricing'!Y175/40,"")</f>
        <v>0.8</v>
      </c>
      <c r="AB20" s="708">
        <f>IFERROR('2. Roles &amp; Pricing'!Z175/40,"")</f>
        <v>0.8</v>
      </c>
      <c r="AC20" s="708">
        <f>IFERROR('2. Roles &amp; Pricing'!AA175/40,"")</f>
        <v>0.8</v>
      </c>
      <c r="AD20" s="708">
        <f>IFERROR('2. Roles &amp; Pricing'!AB175/40,"")</f>
        <v>0.8</v>
      </c>
      <c r="AE20" s="708">
        <f>IFERROR('2. Roles &amp; Pricing'!AG175/40,"")</f>
        <v>0.8</v>
      </c>
      <c r="AF20" s="708">
        <f>IFERROR('2. Roles &amp; Pricing'!AH175/40,"")</f>
        <v>0.8</v>
      </c>
      <c r="AG20" s="708">
        <f>IFERROR('2. Roles &amp; Pricing'!AI175/40,"")</f>
        <v>0.8</v>
      </c>
      <c r="AH20" s="708">
        <f>IFERROR('2. Roles &amp; Pricing'!AJ175/40,"")</f>
        <v>0.8</v>
      </c>
      <c r="AI20" s="708">
        <f>IFERROR('2. Roles &amp; Pricing'!AK175/40,"")</f>
        <v>0.8</v>
      </c>
      <c r="AJ20" s="708">
        <f>IFERROR('2. Roles &amp; Pricing'!AL175/40,"")</f>
        <v>0.8</v>
      </c>
      <c r="AK20" s="708">
        <f>IFERROR('2. Roles &amp; Pricing'!AM175/40,"")</f>
        <v>0.8</v>
      </c>
      <c r="AL20" s="708">
        <f>IFERROR('2. Roles &amp; Pricing'!AN175/40,"")</f>
        <v>0.8</v>
      </c>
      <c r="AM20" s="708">
        <f>IFERROR('2. Roles &amp; Pricing'!AO175/40,"")</f>
        <v>0.8</v>
      </c>
      <c r="AN20" s="708">
        <f>IFERROR('2. Roles &amp; Pricing'!AP175/40,"")</f>
        <v>0.8</v>
      </c>
      <c r="AO20" s="708">
        <f>IFERROR('2. Roles &amp; Pricing'!AQ175/40,"")</f>
        <v>0.8</v>
      </c>
      <c r="AP20" s="708">
        <f>IFERROR('2. Roles &amp; Pricing'!AR175/40,"")</f>
        <v>0.8</v>
      </c>
      <c r="AQ20" s="708">
        <f>IFERROR('2. Roles &amp; Pricing'!AS175/40,"")</f>
        <v>0.8</v>
      </c>
      <c r="AR20" s="708" t="str">
        <f>IFERROR('2. Roles &amp; Pricing'!AT175/40,"")</f>
        <v/>
      </c>
      <c r="AS20" s="708" t="str">
        <f>IFERROR('2. Roles &amp; Pricing'!AU175/40,"")</f>
        <v/>
      </c>
      <c r="AT20" s="708" t="str">
        <f>IFERROR('2. Roles &amp; Pricing'!AV175/40,"")</f>
        <v/>
      </c>
      <c r="AU20" s="708" t="str">
        <f>IFERROR('2. Roles &amp; Pricing'!AW175/40,"")</f>
        <v/>
      </c>
      <c r="AV20" s="708" t="str">
        <f>IFERROR('2. Roles &amp; Pricing'!AX175/40,"")</f>
        <v/>
      </c>
      <c r="AW20" s="708" t="str">
        <f>IFERROR('2. Roles &amp; Pricing'!AY175/40,"")</f>
        <v/>
      </c>
      <c r="AX20" s="708" t="str">
        <f>IFERROR('2. Roles &amp; Pricing'!AZ175/40,"")</f>
        <v/>
      </c>
      <c r="AY20" s="708" t="str">
        <f>IFERROR('2. Roles &amp; Pricing'!BA175/40,"")</f>
        <v/>
      </c>
      <c r="AZ20" s="708" t="str">
        <f>IFERROR('2. Roles &amp; Pricing'!BB175/40,"")</f>
        <v/>
      </c>
      <c r="BA20" s="708" t="str">
        <f>IFERROR('2. Roles &amp; Pricing'!BC175/40,"")</f>
        <v/>
      </c>
      <c r="BB20" s="708" t="str">
        <f>IFERROR('2. Roles &amp; Pricing'!BD175/40,"")</f>
        <v/>
      </c>
      <c r="BC20" s="708" t="str">
        <f>IFERROR('2. Roles &amp; Pricing'!BE175/40,"")</f>
        <v/>
      </c>
      <c r="BD20" s="708" t="str">
        <f>IFERROR('2. Roles &amp; Pricing'!BF175/40,"")</f>
        <v/>
      </c>
      <c r="BE20" s="708" t="str">
        <f>IFERROR('2. Roles &amp; Pricing'!BG175/40,"")</f>
        <v/>
      </c>
      <c r="BF20" s="708" t="str">
        <f>IFERROR('2. Roles &amp; Pricing'!BH175/40,"")</f>
        <v/>
      </c>
      <c r="BG20" s="708" t="str">
        <f>IFERROR('2. Roles &amp; Pricing'!BI175/40,"")</f>
        <v/>
      </c>
      <c r="BH20" s="708" t="str">
        <f>IFERROR('2. Roles &amp; Pricing'!BJ175/40,"")</f>
        <v/>
      </c>
      <c r="BI20" s="708" t="str">
        <f>IFERROR('2. Roles &amp; Pricing'!BK175/40,"")</f>
        <v/>
      </c>
      <c r="BJ20" s="708" t="str">
        <f>IFERROR('2. Roles &amp; Pricing'!BL175/40,"")</f>
        <v/>
      </c>
      <c r="BK20" s="708" t="str">
        <f>IFERROR('2. Roles &amp; Pricing'!BM175/40,"")</f>
        <v/>
      </c>
      <c r="BL20" s="708" t="str">
        <f>IFERROR('2. Roles &amp; Pricing'!BN175/40,"")</f>
        <v/>
      </c>
      <c r="BM20" s="708" t="str">
        <f>IFERROR('2. Roles &amp; Pricing'!BO175/40,"")</f>
        <v/>
      </c>
      <c r="BN20" s="212">
        <f t="shared" si="49"/>
        <v>24.000000000000011</v>
      </c>
      <c r="BO20" s="213">
        <f t="shared" si="50"/>
        <v>120.00000000000006</v>
      </c>
      <c r="BP20" s="199">
        <f>'2. Roles &amp; Pricing'!D296</f>
        <v>33600</v>
      </c>
      <c r="BQ20" s="199">
        <f>'2. Roles &amp; Pricing'!F296</f>
        <v>12480</v>
      </c>
      <c r="BR20" s="623">
        <f>'2. Roles &amp; Pricing'!F296</f>
        <v>12480</v>
      </c>
      <c r="BS20" s="200">
        <f>'2. Roles &amp; Pricing'!I296</f>
        <v>35</v>
      </c>
      <c r="BT20" s="201">
        <f t="shared" si="51"/>
        <v>33600</v>
      </c>
      <c r="BU20" s="214">
        <f t="shared" si="48"/>
        <v>960.00000000000045</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7</v>
      </c>
      <c r="B21" s="206">
        <v>3</v>
      </c>
      <c r="C21" s="207" t="str">
        <f t="shared" si="46"/>
        <v>0__</v>
      </c>
      <c r="D21" s="207" t="str">
        <f t="shared" si="47"/>
        <v>0____0</v>
      </c>
      <c r="E21" s="207">
        <v>21</v>
      </c>
      <c r="F21" s="207">
        <v>8</v>
      </c>
      <c r="G21" s="208">
        <f>'2. Roles &amp; Pricing'!D54</f>
        <v>0</v>
      </c>
      <c r="H21" s="209" t="str">
        <f>'2. Roles &amp; Pricing'!E54</f>
        <v/>
      </c>
      <c r="I21" s="210">
        <f>'2. Roles &amp; Pricing'!F54</f>
        <v>0</v>
      </c>
      <c r="J21" s="210">
        <f>'2. Roles &amp; Pricing'!K54</f>
        <v>0</v>
      </c>
      <c r="K21" s="197" t="str">
        <f>'2. Roles &amp; Pricing'!W54</f>
        <v xml:space="preserve"> </v>
      </c>
      <c r="L21" s="209"/>
      <c r="M21" s="210"/>
      <c r="N21" s="707">
        <f>IFERROR('2. Roles &amp; Pricing'!F176/40,"")</f>
        <v>0.25</v>
      </c>
      <c r="O21" s="707">
        <f>IFERROR('2. Roles &amp; Pricing'!I176/40,"")</f>
        <v>0.25</v>
      </c>
      <c r="P21" s="707">
        <f>IFERROR('2. Roles &amp; Pricing'!K176/40,"")</f>
        <v>0.25</v>
      </c>
      <c r="Q21" s="707">
        <f>IFERROR('2. Roles &amp; Pricing'!L176/40,"")</f>
        <v>0.25</v>
      </c>
      <c r="R21" s="707">
        <f>IFERROR('2. Roles &amp; Pricing'!M176/40,"")</f>
        <v>0.25</v>
      </c>
      <c r="S21" s="707">
        <f>IFERROR('2. Roles &amp; Pricing'!N176/40,"")</f>
        <v>0.25</v>
      </c>
      <c r="T21" s="707">
        <f>IFERROR('2. Roles &amp; Pricing'!O176/40,"")</f>
        <v>0.25</v>
      </c>
      <c r="U21" s="709">
        <f>IFERROR('2. Roles &amp; Pricing'!P176/40,"")</f>
        <v>0.25</v>
      </c>
      <c r="V21" s="709">
        <f>IFERROR('2. Roles &amp; Pricing'!Q176/40,"")</f>
        <v>0.25</v>
      </c>
      <c r="W21" s="709">
        <f>IFERROR('2. Roles &amp; Pricing'!R176/40,"")</f>
        <v>0.25</v>
      </c>
      <c r="X21" s="708">
        <f>IFERROR('2. Roles &amp; Pricing'!S176/40,"")</f>
        <v>0.25</v>
      </c>
      <c r="Y21" s="708">
        <f>IFERROR('2. Roles &amp; Pricing'!T176/40,"")</f>
        <v>0.25</v>
      </c>
      <c r="Z21" s="708">
        <f>IFERROR('2. Roles &amp; Pricing'!U176/40,"")</f>
        <v>0.25</v>
      </c>
      <c r="AA21" s="708">
        <f>IFERROR('2. Roles &amp; Pricing'!Y176/40,"")</f>
        <v>0.25</v>
      </c>
      <c r="AB21" s="708">
        <f>IFERROR('2. Roles &amp; Pricing'!Z176/40,"")</f>
        <v>0.25</v>
      </c>
      <c r="AC21" s="708">
        <f>IFERROR('2. Roles &amp; Pricing'!AA176/40,"")</f>
        <v>0.25</v>
      </c>
      <c r="AD21" s="708">
        <f>IFERROR('2. Roles &amp; Pricing'!AB176/40,"")</f>
        <v>0.25</v>
      </c>
      <c r="AE21" s="708">
        <f>IFERROR('2. Roles &amp; Pricing'!AG176/40,"")</f>
        <v>0.25</v>
      </c>
      <c r="AF21" s="708">
        <f>IFERROR('2. Roles &amp; Pricing'!AH176/40,"")</f>
        <v>0.25</v>
      </c>
      <c r="AG21" s="708">
        <f>IFERROR('2. Roles &amp; Pricing'!AI176/40,"")</f>
        <v>0.25</v>
      </c>
      <c r="AH21" s="708">
        <f>IFERROR('2. Roles &amp; Pricing'!AJ176/40,"")</f>
        <v>0.25</v>
      </c>
      <c r="AI21" s="708">
        <f>IFERROR('2. Roles &amp; Pricing'!AK176/40,"")</f>
        <v>0.25</v>
      </c>
      <c r="AJ21" s="708">
        <f>IFERROR('2. Roles &amp; Pricing'!AL176/40,"")</f>
        <v>0.25</v>
      </c>
      <c r="AK21" s="708">
        <f>IFERROR('2. Roles &amp; Pricing'!AM176/40,"")</f>
        <v>0.25</v>
      </c>
      <c r="AL21" s="708">
        <f>IFERROR('2. Roles &amp; Pricing'!AN176/40,"")</f>
        <v>0.25</v>
      </c>
      <c r="AM21" s="708">
        <f>IFERROR('2. Roles &amp; Pricing'!AO176/40,"")</f>
        <v>0.25</v>
      </c>
      <c r="AN21" s="708">
        <f>IFERROR('2. Roles &amp; Pricing'!AP176/40,"")</f>
        <v>0.25</v>
      </c>
      <c r="AO21" s="708">
        <f>IFERROR('2. Roles &amp; Pricing'!AQ176/40,"")</f>
        <v>0.25</v>
      </c>
      <c r="AP21" s="708">
        <f>IFERROR('2. Roles &amp; Pricing'!AR176/40,"")</f>
        <v>0.25</v>
      </c>
      <c r="AQ21" s="708">
        <f>IFERROR('2. Roles &amp; Pricing'!AS176/40,"")</f>
        <v>0.25</v>
      </c>
      <c r="AR21" s="708" t="str">
        <f>IFERROR('2. Roles &amp; Pricing'!AT176/40,"")</f>
        <v/>
      </c>
      <c r="AS21" s="708" t="str">
        <f>IFERROR('2. Roles &amp; Pricing'!AU176/40,"")</f>
        <v/>
      </c>
      <c r="AT21" s="708" t="str">
        <f>IFERROR('2. Roles &amp; Pricing'!AV176/40,"")</f>
        <v/>
      </c>
      <c r="AU21" s="708" t="str">
        <f>IFERROR('2. Roles &amp; Pricing'!AW176/40,"")</f>
        <v/>
      </c>
      <c r="AV21" s="708" t="str">
        <f>IFERROR('2. Roles &amp; Pricing'!AX176/40,"")</f>
        <v/>
      </c>
      <c r="AW21" s="708" t="str">
        <f>IFERROR('2. Roles &amp; Pricing'!AY176/40,"")</f>
        <v/>
      </c>
      <c r="AX21" s="708" t="str">
        <f>IFERROR('2. Roles &amp; Pricing'!AZ176/40,"")</f>
        <v/>
      </c>
      <c r="AY21" s="708" t="str">
        <f>IFERROR('2. Roles &amp; Pricing'!BA176/40,"")</f>
        <v/>
      </c>
      <c r="AZ21" s="708" t="str">
        <f>IFERROR('2. Roles &amp; Pricing'!BB176/40,"")</f>
        <v/>
      </c>
      <c r="BA21" s="708" t="str">
        <f>IFERROR('2. Roles &amp; Pricing'!BC176/40,"")</f>
        <v/>
      </c>
      <c r="BB21" s="708" t="str">
        <f>IFERROR('2. Roles &amp; Pricing'!BD176/40,"")</f>
        <v/>
      </c>
      <c r="BC21" s="708" t="str">
        <f>IFERROR('2. Roles &amp; Pricing'!BE176/40,"")</f>
        <v/>
      </c>
      <c r="BD21" s="708" t="str">
        <f>IFERROR('2. Roles &amp; Pricing'!BF176/40,"")</f>
        <v/>
      </c>
      <c r="BE21" s="708" t="str">
        <f>IFERROR('2. Roles &amp; Pricing'!BG176/40,"")</f>
        <v/>
      </c>
      <c r="BF21" s="708" t="str">
        <f>IFERROR('2. Roles &amp; Pricing'!BH176/40,"")</f>
        <v/>
      </c>
      <c r="BG21" s="708" t="str">
        <f>IFERROR('2. Roles &amp; Pricing'!BI176/40,"")</f>
        <v/>
      </c>
      <c r="BH21" s="708" t="str">
        <f>IFERROR('2. Roles &amp; Pricing'!BJ176/40,"")</f>
        <v/>
      </c>
      <c r="BI21" s="708" t="str">
        <f>IFERROR('2. Roles &amp; Pricing'!BK176/40,"")</f>
        <v/>
      </c>
      <c r="BJ21" s="708" t="str">
        <f>IFERROR('2. Roles &amp; Pricing'!BL176/40,"")</f>
        <v/>
      </c>
      <c r="BK21" s="708" t="str">
        <f>IFERROR('2. Roles &amp; Pricing'!BM176/40,"")</f>
        <v/>
      </c>
      <c r="BL21" s="708" t="str">
        <f>IFERROR('2. Roles &amp; Pricing'!BN176/40,"")</f>
        <v/>
      </c>
      <c r="BM21" s="708" t="str">
        <f>IFERROR('2. Roles &amp; Pricing'!BO176/40,"")</f>
        <v/>
      </c>
      <c r="BN21" s="212">
        <f t="shared" si="49"/>
        <v>7.5</v>
      </c>
      <c r="BO21" s="213">
        <f t="shared" si="50"/>
        <v>37.5</v>
      </c>
      <c r="BP21" s="199">
        <f>'2. Roles &amp; Pricing'!D297</f>
        <v>0</v>
      </c>
      <c r="BQ21" s="199">
        <f>'2. Roles &amp; Pricing'!F297</f>
        <v>0</v>
      </c>
      <c r="BR21" s="623">
        <f>'2. Roles &amp; Pricing'!F297</f>
        <v>0</v>
      </c>
      <c r="BS21" s="200">
        <f>'2. Roles &amp; Pricing'!I297</f>
        <v>0</v>
      </c>
      <c r="BT21" s="201">
        <f t="shared" si="51"/>
        <v>0</v>
      </c>
      <c r="BU21" s="214">
        <f t="shared" si="48"/>
        <v>300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8</v>
      </c>
      <c r="B22" s="206">
        <v>3</v>
      </c>
      <c r="C22" s="207" t="str">
        <f t="shared" si="46"/>
        <v>0__</v>
      </c>
      <c r="D22" s="207" t="str">
        <f t="shared" si="47"/>
        <v>0____0</v>
      </c>
      <c r="E22" s="207">
        <v>20</v>
      </c>
      <c r="F22" s="207">
        <v>10</v>
      </c>
      <c r="G22" s="208">
        <f>'2. Roles &amp; Pricing'!D55</f>
        <v>0</v>
      </c>
      <c r="H22" s="209" t="str">
        <f>'2. Roles &amp; Pricing'!E55</f>
        <v/>
      </c>
      <c r="I22" s="210">
        <f>'2. Roles &amp; Pricing'!F55</f>
        <v>0</v>
      </c>
      <c r="J22" s="210">
        <f>'2. Roles &amp; Pricing'!K55</f>
        <v>0</v>
      </c>
      <c r="K22" s="197" t="str">
        <f>'2. Roles &amp; Pricing'!W55</f>
        <v xml:space="preserve"> </v>
      </c>
      <c r="L22" s="209"/>
      <c r="M22" s="210"/>
      <c r="N22" s="707" t="str">
        <f>IFERROR('2. Roles &amp; Pricing'!F177/40,"")</f>
        <v/>
      </c>
      <c r="O22" s="707" t="str">
        <f>IFERROR('2. Roles &amp; Pricing'!I177/40,"")</f>
        <v/>
      </c>
      <c r="P22" s="707" t="str">
        <f>IFERROR('2. Roles &amp; Pricing'!K177/40,"")</f>
        <v/>
      </c>
      <c r="Q22" s="707" t="str">
        <f>IFERROR('2. Roles &amp; Pricing'!L177/40,"")</f>
        <v/>
      </c>
      <c r="R22" s="707" t="str">
        <f>IFERROR('2. Roles &amp; Pricing'!M177/40,"")</f>
        <v/>
      </c>
      <c r="S22" s="707" t="str">
        <f>IFERROR('2. Roles &amp; Pricing'!N177/40,"")</f>
        <v/>
      </c>
      <c r="T22" s="707" t="str">
        <f>IFERROR('2. Roles &amp; Pricing'!O177/40,"")</f>
        <v/>
      </c>
      <c r="U22" s="709" t="str">
        <f>IFERROR('2. Roles &amp; Pricing'!P177/40,"")</f>
        <v/>
      </c>
      <c r="V22" s="709" t="str">
        <f>IFERROR('2. Roles &amp; Pricing'!Q177/40,"")</f>
        <v/>
      </c>
      <c r="W22" s="709" t="str">
        <f>IFERROR('2. Roles &amp; Pricing'!R177/40,"")</f>
        <v/>
      </c>
      <c r="X22" s="708" t="str">
        <f>IFERROR('2. Roles &amp; Pricing'!S177/40,"")</f>
        <v/>
      </c>
      <c r="Y22" s="708" t="str">
        <f>IFERROR('2. Roles &amp; Pricing'!T177/40,"")</f>
        <v/>
      </c>
      <c r="Z22" s="708" t="str">
        <f>IFERROR('2. Roles &amp; Pricing'!U177/40,"")</f>
        <v/>
      </c>
      <c r="AA22" s="708" t="str">
        <f>IFERROR('2. Roles &amp; Pricing'!Y177/40,"")</f>
        <v/>
      </c>
      <c r="AB22" s="708" t="str">
        <f>IFERROR('2. Roles &amp; Pricing'!Z177/40,"")</f>
        <v/>
      </c>
      <c r="AC22" s="708" t="str">
        <f>IFERROR('2. Roles &amp; Pricing'!AA177/40,"")</f>
        <v/>
      </c>
      <c r="AD22" s="708" t="str">
        <f>IFERROR('2. Roles &amp; Pricing'!AB177/40,"")</f>
        <v/>
      </c>
      <c r="AE22" s="708" t="str">
        <f>IFERROR('2. Roles &amp; Pricing'!AG177/40,"")</f>
        <v/>
      </c>
      <c r="AF22" s="708" t="str">
        <f>IFERROR('2. Roles &amp; Pricing'!AH177/40,"")</f>
        <v/>
      </c>
      <c r="AG22" s="708" t="str">
        <f>IFERROR('2. Roles &amp; Pricing'!AI177/40,"")</f>
        <v/>
      </c>
      <c r="AH22" s="708" t="str">
        <f>IFERROR('2. Roles &amp; Pricing'!AJ177/40,"")</f>
        <v/>
      </c>
      <c r="AI22" s="708" t="str">
        <f>IFERROR('2. Roles &amp; Pricing'!AK177/40,"")</f>
        <v/>
      </c>
      <c r="AJ22" s="708" t="str">
        <f>IFERROR('2. Roles &amp; Pricing'!AL177/40,"")</f>
        <v/>
      </c>
      <c r="AK22" s="708" t="str">
        <f>IFERROR('2. Roles &amp; Pricing'!AM177/40,"")</f>
        <v/>
      </c>
      <c r="AL22" s="708" t="str">
        <f>IFERROR('2. Roles &amp; Pricing'!AN177/40,"")</f>
        <v/>
      </c>
      <c r="AM22" s="708" t="str">
        <f>IFERROR('2. Roles &amp; Pricing'!AO177/40,"")</f>
        <v/>
      </c>
      <c r="AN22" s="708" t="str">
        <f>IFERROR('2. Roles &amp; Pricing'!AP177/40,"")</f>
        <v/>
      </c>
      <c r="AO22" s="708" t="str">
        <f>IFERROR('2. Roles &amp; Pricing'!AQ177/40,"")</f>
        <v/>
      </c>
      <c r="AP22" s="708" t="str">
        <f>IFERROR('2. Roles &amp; Pricing'!AR177/40,"")</f>
        <v/>
      </c>
      <c r="AQ22" s="708" t="str">
        <f>IFERROR('2. Roles &amp; Pricing'!AS177/40,"")</f>
        <v/>
      </c>
      <c r="AR22" s="708" t="str">
        <f>IFERROR('2. Roles &amp; Pricing'!AT177/40,"")</f>
        <v/>
      </c>
      <c r="AS22" s="708" t="str">
        <f>IFERROR('2. Roles &amp; Pricing'!AU177/40,"")</f>
        <v/>
      </c>
      <c r="AT22" s="708" t="str">
        <f>IFERROR('2. Roles &amp; Pricing'!AV177/40,"")</f>
        <v/>
      </c>
      <c r="AU22" s="708" t="str">
        <f>IFERROR('2. Roles &amp; Pricing'!AW177/40,"")</f>
        <v/>
      </c>
      <c r="AV22" s="708" t="str">
        <f>IFERROR('2. Roles &amp; Pricing'!AX177/40,"")</f>
        <v/>
      </c>
      <c r="AW22" s="708" t="str">
        <f>IFERROR('2. Roles &amp; Pricing'!AY177/40,"")</f>
        <v/>
      </c>
      <c r="AX22" s="708" t="str">
        <f>IFERROR('2. Roles &amp; Pricing'!AZ177/40,"")</f>
        <v/>
      </c>
      <c r="AY22" s="708" t="str">
        <f>IFERROR('2. Roles &amp; Pricing'!BA177/40,"")</f>
        <v/>
      </c>
      <c r="AZ22" s="708" t="str">
        <f>IFERROR('2. Roles &amp; Pricing'!BB177/40,"")</f>
        <v/>
      </c>
      <c r="BA22" s="708" t="str">
        <f>IFERROR('2. Roles &amp; Pricing'!BC177/40,"")</f>
        <v/>
      </c>
      <c r="BB22" s="708" t="str">
        <f>IFERROR('2. Roles &amp; Pricing'!BD177/40,"")</f>
        <v/>
      </c>
      <c r="BC22" s="708" t="str">
        <f>IFERROR('2. Roles &amp; Pricing'!BE177/40,"")</f>
        <v/>
      </c>
      <c r="BD22" s="708" t="str">
        <f>IFERROR('2. Roles &amp; Pricing'!BF177/40,"")</f>
        <v/>
      </c>
      <c r="BE22" s="708" t="str">
        <f>IFERROR('2. Roles &amp; Pricing'!BG177/40,"")</f>
        <v/>
      </c>
      <c r="BF22" s="708" t="str">
        <f>IFERROR('2. Roles &amp; Pricing'!BH177/40,"")</f>
        <v/>
      </c>
      <c r="BG22" s="708" t="str">
        <f>IFERROR('2. Roles &amp; Pricing'!BI177/40,"")</f>
        <v/>
      </c>
      <c r="BH22" s="708" t="str">
        <f>IFERROR('2. Roles &amp; Pricing'!BJ177/40,"")</f>
        <v/>
      </c>
      <c r="BI22" s="708" t="str">
        <f>IFERROR('2. Roles &amp; Pricing'!BK177/40,"")</f>
        <v/>
      </c>
      <c r="BJ22" s="708" t="str">
        <f>IFERROR('2. Roles &amp; Pricing'!BL177/40,"")</f>
        <v/>
      </c>
      <c r="BK22" s="708" t="str">
        <f>IFERROR('2. Roles &amp; Pricing'!BM177/40,"")</f>
        <v/>
      </c>
      <c r="BL22" s="708" t="str">
        <f>IFERROR('2. Roles &amp; Pricing'!BN177/40,"")</f>
        <v/>
      </c>
      <c r="BM22" s="708" t="str">
        <f>IFERROR('2. Roles &amp; Pricing'!BO177/40,"")</f>
        <v/>
      </c>
      <c r="BN22" s="212">
        <f t="shared" si="49"/>
        <v>0</v>
      </c>
      <c r="BO22" s="213">
        <f t="shared" si="50"/>
        <v>0</v>
      </c>
      <c r="BP22" s="199" t="str">
        <f>'2. Roles &amp; Pricing'!D298</f>
        <v/>
      </c>
      <c r="BQ22" s="199">
        <f>'2. Roles &amp; Pricing'!F298</f>
        <v>0</v>
      </c>
      <c r="BR22" s="623">
        <f>'2. Roles &amp; Pricing'!F298</f>
        <v>0</v>
      </c>
      <c r="BS22" s="200">
        <f>'2. Roles &amp; Pricing'!I298</f>
        <v>0</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14.5" thickBot="1" x14ac:dyDescent="0.4">
      <c r="A23" s="205">
        <v>9</v>
      </c>
      <c r="B23" s="206">
        <v>3</v>
      </c>
      <c r="C23" s="207" t="str">
        <f t="shared" si="46"/>
        <v>0__</v>
      </c>
      <c r="D23" s="207" t="str">
        <f t="shared" si="47"/>
        <v>0____0</v>
      </c>
      <c r="E23" s="207">
        <v>21</v>
      </c>
      <c r="F23" s="207">
        <v>8</v>
      </c>
      <c r="G23" s="208">
        <f>'2. Roles &amp; Pricing'!D56</f>
        <v>0</v>
      </c>
      <c r="H23" s="209" t="str">
        <f>'2. Roles &amp; Pricing'!E56</f>
        <v/>
      </c>
      <c r="I23" s="210">
        <f>'2. Roles &amp; Pricing'!F56</f>
        <v>0</v>
      </c>
      <c r="J23" s="210">
        <f>'2. Roles &amp; Pricing'!K56</f>
        <v>0</v>
      </c>
      <c r="K23" s="197" t="str">
        <f>'2. Roles &amp; Pricing'!W56</f>
        <v xml:space="preserve"> </v>
      </c>
      <c r="L23" s="209"/>
      <c r="M23" s="210"/>
      <c r="N23" s="707" t="str">
        <f>IFERROR('2. Roles &amp; Pricing'!F178/40,"")</f>
        <v/>
      </c>
      <c r="O23" s="707" t="str">
        <f>IFERROR('2. Roles &amp; Pricing'!I178/40,"")</f>
        <v/>
      </c>
      <c r="P23" s="707" t="str">
        <f>IFERROR('2. Roles &amp; Pricing'!K178/40,"")</f>
        <v/>
      </c>
      <c r="Q23" s="707" t="str">
        <f>IFERROR('2. Roles &amp; Pricing'!L178/40,"")</f>
        <v/>
      </c>
      <c r="R23" s="707" t="str">
        <f>IFERROR('2. Roles &amp; Pricing'!M178/40,"")</f>
        <v/>
      </c>
      <c r="S23" s="707" t="str">
        <f>IFERROR('2. Roles &amp; Pricing'!N178/40,"")</f>
        <v/>
      </c>
      <c r="T23" s="707" t="str">
        <f>IFERROR('2. Roles &amp; Pricing'!O178/40,"")</f>
        <v/>
      </c>
      <c r="U23" s="709" t="str">
        <f>IFERROR('2. Roles &amp; Pricing'!P178/40,"")</f>
        <v/>
      </c>
      <c r="V23" s="709" t="str">
        <f>IFERROR('2. Roles &amp; Pricing'!Q178/40,"")</f>
        <v/>
      </c>
      <c r="W23" s="709" t="str">
        <f>IFERROR('2. Roles &amp; Pricing'!R178/40,"")</f>
        <v/>
      </c>
      <c r="X23" s="708" t="str">
        <f>IFERROR('2. Roles &amp; Pricing'!S178/40,"")</f>
        <v/>
      </c>
      <c r="Y23" s="708" t="str">
        <f>IFERROR('2. Roles &amp; Pricing'!T178/40,"")</f>
        <v/>
      </c>
      <c r="Z23" s="708" t="str">
        <f>IFERROR('2. Roles &amp; Pricing'!U178/40,"")</f>
        <v/>
      </c>
      <c r="AA23" s="708" t="str">
        <f>IFERROR('2. Roles &amp; Pricing'!Y178/40,"")</f>
        <v/>
      </c>
      <c r="AB23" s="708" t="str">
        <f>IFERROR('2. Roles &amp; Pricing'!Z178/40,"")</f>
        <v/>
      </c>
      <c r="AC23" s="708" t="str">
        <f>IFERROR('2. Roles &amp; Pricing'!AA178/40,"")</f>
        <v/>
      </c>
      <c r="AD23" s="708" t="str">
        <f>IFERROR('2. Roles &amp; Pricing'!AB178/40,"")</f>
        <v/>
      </c>
      <c r="AE23" s="708" t="str">
        <f>IFERROR('2. Roles &amp; Pricing'!AG178/40,"")</f>
        <v/>
      </c>
      <c r="AF23" s="708" t="str">
        <f>IFERROR('2. Roles &amp; Pricing'!AH178/40,"")</f>
        <v/>
      </c>
      <c r="AG23" s="708" t="str">
        <f>IFERROR('2. Roles &amp; Pricing'!AI178/40,"")</f>
        <v/>
      </c>
      <c r="AH23" s="708" t="str">
        <f>IFERROR('2. Roles &amp; Pricing'!AJ178/40,"")</f>
        <v/>
      </c>
      <c r="AI23" s="708" t="str">
        <f>IFERROR('2. Roles &amp; Pricing'!AK178/40,"")</f>
        <v/>
      </c>
      <c r="AJ23" s="708" t="str">
        <f>IFERROR('2. Roles &amp; Pricing'!AL178/40,"")</f>
        <v/>
      </c>
      <c r="AK23" s="708" t="str">
        <f>IFERROR('2. Roles &amp; Pricing'!AM178/40,"")</f>
        <v/>
      </c>
      <c r="AL23" s="708" t="str">
        <f>IFERROR('2. Roles &amp; Pricing'!AN178/40,"")</f>
        <v/>
      </c>
      <c r="AM23" s="708" t="str">
        <f>IFERROR('2. Roles &amp; Pricing'!AO178/40,"")</f>
        <v/>
      </c>
      <c r="AN23" s="708" t="str">
        <f>IFERROR('2. Roles &amp; Pricing'!AP178/40,"")</f>
        <v/>
      </c>
      <c r="AO23" s="708" t="str">
        <f>IFERROR('2. Roles &amp; Pricing'!AQ178/40,"")</f>
        <v/>
      </c>
      <c r="AP23" s="708" t="str">
        <f>IFERROR('2. Roles &amp; Pricing'!AR178/40,"")</f>
        <v/>
      </c>
      <c r="AQ23" s="708" t="str">
        <f>IFERROR('2. Roles &amp; Pricing'!AS178/40,"")</f>
        <v/>
      </c>
      <c r="AR23" s="708" t="str">
        <f>IFERROR('2. Roles &amp; Pricing'!AT178/40,"")</f>
        <v/>
      </c>
      <c r="AS23" s="708" t="str">
        <f>IFERROR('2. Roles &amp; Pricing'!AU178/40,"")</f>
        <v/>
      </c>
      <c r="AT23" s="708" t="str">
        <f>IFERROR('2. Roles &amp; Pricing'!AV178/40,"")</f>
        <v/>
      </c>
      <c r="AU23" s="708" t="str">
        <f>IFERROR('2. Roles &amp; Pricing'!AW178/40,"")</f>
        <v/>
      </c>
      <c r="AV23" s="708" t="str">
        <f>IFERROR('2. Roles &amp; Pricing'!AX178/40,"")</f>
        <v/>
      </c>
      <c r="AW23" s="708" t="str">
        <f>IFERROR('2. Roles &amp; Pricing'!AY178/40,"")</f>
        <v/>
      </c>
      <c r="AX23" s="708" t="str">
        <f>IFERROR('2. Roles &amp; Pricing'!AZ178/40,"")</f>
        <v/>
      </c>
      <c r="AY23" s="708" t="str">
        <f>IFERROR('2. Roles &amp; Pricing'!BA178/40,"")</f>
        <v/>
      </c>
      <c r="AZ23" s="708" t="str">
        <f>IFERROR('2. Roles &amp; Pricing'!BB178/40,"")</f>
        <v/>
      </c>
      <c r="BA23" s="708" t="str">
        <f>IFERROR('2. Roles &amp; Pricing'!BC178/40,"")</f>
        <v/>
      </c>
      <c r="BB23" s="708" t="str">
        <f>IFERROR('2. Roles &amp; Pricing'!BD178/40,"")</f>
        <v/>
      </c>
      <c r="BC23" s="708" t="str">
        <f>IFERROR('2. Roles &amp; Pricing'!BE178/40,"")</f>
        <v/>
      </c>
      <c r="BD23" s="708" t="str">
        <f>IFERROR('2. Roles &amp; Pricing'!BF178/40,"")</f>
        <v/>
      </c>
      <c r="BE23" s="708" t="str">
        <f>IFERROR('2. Roles &amp; Pricing'!BG178/40,"")</f>
        <v/>
      </c>
      <c r="BF23" s="708" t="str">
        <f>IFERROR('2. Roles &amp; Pricing'!BH178/40,"")</f>
        <v/>
      </c>
      <c r="BG23" s="708" t="str">
        <f>IFERROR('2. Roles &amp; Pricing'!BI178/40,"")</f>
        <v/>
      </c>
      <c r="BH23" s="708" t="str">
        <f>IFERROR('2. Roles &amp; Pricing'!BJ178/40,"")</f>
        <v/>
      </c>
      <c r="BI23" s="708" t="str">
        <f>IFERROR('2. Roles &amp; Pricing'!BK178/40,"")</f>
        <v/>
      </c>
      <c r="BJ23" s="708" t="str">
        <f>IFERROR('2. Roles &amp; Pricing'!BL178/40,"")</f>
        <v/>
      </c>
      <c r="BK23" s="708" t="str">
        <f>IFERROR('2. Roles &amp; Pricing'!BM178/40,"")</f>
        <v/>
      </c>
      <c r="BL23" s="708" t="str">
        <f>IFERROR('2. Roles &amp; Pricing'!BN178/40,"")</f>
        <v/>
      </c>
      <c r="BM23" s="708" t="str">
        <f>IFERROR('2. Roles &amp; Pricing'!BO178/40,"")</f>
        <v/>
      </c>
      <c r="BN23" s="212">
        <f t="shared" si="49"/>
        <v>0</v>
      </c>
      <c r="BO23" s="213">
        <f t="shared" si="50"/>
        <v>0</v>
      </c>
      <c r="BP23" s="199" t="str">
        <f>'2. Roles &amp; Pricing'!D299</f>
        <v/>
      </c>
      <c r="BQ23" s="199">
        <f>'2. Roles &amp; Pricing'!F299</f>
        <v>0</v>
      </c>
      <c r="BR23" s="623">
        <f>'2. Roles &amp; Pricing'!F299</f>
        <v>0</v>
      </c>
      <c r="BS23" s="200">
        <f>'2. Roles &amp; Pricing'!I299</f>
        <v>0</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10</v>
      </c>
      <c r="B24" s="206">
        <v>3</v>
      </c>
      <c r="C24" s="207" t="str">
        <f t="shared" si="46"/>
        <v>0__</v>
      </c>
      <c r="D24" s="207" t="str">
        <f t="shared" si="47"/>
        <v>0____0</v>
      </c>
      <c r="E24" s="207">
        <v>20</v>
      </c>
      <c r="F24" s="207">
        <v>10</v>
      </c>
      <c r="G24" s="208">
        <f>'2. Roles &amp; Pricing'!D57</f>
        <v>0</v>
      </c>
      <c r="H24" s="209" t="str">
        <f>'2. Roles &amp; Pricing'!E57</f>
        <v/>
      </c>
      <c r="I24" s="210">
        <f>'2. Roles &amp; Pricing'!F57</f>
        <v>0</v>
      </c>
      <c r="J24" s="210">
        <f>'2. Roles &amp; Pricing'!K57</f>
        <v>0</v>
      </c>
      <c r="K24" s="197" t="str">
        <f>'2. Roles &amp; Pricing'!W57</f>
        <v xml:space="preserve"> </v>
      </c>
      <c r="L24" s="209"/>
      <c r="M24" s="210"/>
      <c r="N24" s="707" t="str">
        <f>IFERROR('2. Roles &amp; Pricing'!F179/40,"")</f>
        <v/>
      </c>
      <c r="O24" s="707" t="str">
        <f>IFERROR('2. Roles &amp; Pricing'!I179/40,"")</f>
        <v/>
      </c>
      <c r="P24" s="707" t="str">
        <f>IFERROR('2. Roles &amp; Pricing'!K179/40,"")</f>
        <v/>
      </c>
      <c r="Q24" s="707" t="str">
        <f>IFERROR('2. Roles &amp; Pricing'!L179/40,"")</f>
        <v/>
      </c>
      <c r="R24" s="707" t="str">
        <f>IFERROR('2. Roles &amp; Pricing'!M179/40,"")</f>
        <v/>
      </c>
      <c r="S24" s="707" t="str">
        <f>IFERROR('2. Roles &amp; Pricing'!N179/40,"")</f>
        <v/>
      </c>
      <c r="T24" s="707" t="str">
        <f>IFERROR('2. Roles &amp; Pricing'!O179/40,"")</f>
        <v/>
      </c>
      <c r="U24" s="709" t="str">
        <f>IFERROR('2. Roles &amp; Pricing'!P179/40,"")</f>
        <v/>
      </c>
      <c r="V24" s="709" t="str">
        <f>IFERROR('2. Roles &amp; Pricing'!Q179/40,"")</f>
        <v/>
      </c>
      <c r="W24" s="709" t="str">
        <f>IFERROR('2. Roles &amp; Pricing'!R179/40,"")</f>
        <v/>
      </c>
      <c r="X24" s="708" t="str">
        <f>IFERROR('2. Roles &amp; Pricing'!S179/40,"")</f>
        <v/>
      </c>
      <c r="Y24" s="708" t="str">
        <f>IFERROR('2. Roles &amp; Pricing'!T179/40,"")</f>
        <v/>
      </c>
      <c r="Z24" s="708" t="str">
        <f>IFERROR('2. Roles &amp; Pricing'!U179/40,"")</f>
        <v/>
      </c>
      <c r="AA24" s="708" t="str">
        <f>IFERROR('2. Roles &amp; Pricing'!Y179/40,"")</f>
        <v/>
      </c>
      <c r="AB24" s="708" t="str">
        <f>IFERROR('2. Roles &amp; Pricing'!Z179/40,"")</f>
        <v/>
      </c>
      <c r="AC24" s="708" t="str">
        <f>IFERROR('2. Roles &amp; Pricing'!AA179/40,"")</f>
        <v/>
      </c>
      <c r="AD24" s="708" t="str">
        <f>IFERROR('2. Roles &amp; Pricing'!AB179/40,"")</f>
        <v/>
      </c>
      <c r="AE24" s="708" t="str">
        <f>IFERROR('2. Roles &amp; Pricing'!AG179/40,"")</f>
        <v/>
      </c>
      <c r="AF24" s="708" t="str">
        <f>IFERROR('2. Roles &amp; Pricing'!AH179/40,"")</f>
        <v/>
      </c>
      <c r="AG24" s="708" t="str">
        <f>IFERROR('2. Roles &amp; Pricing'!AI179/40,"")</f>
        <v/>
      </c>
      <c r="AH24" s="708" t="str">
        <f>IFERROR('2. Roles &amp; Pricing'!AJ179/40,"")</f>
        <v/>
      </c>
      <c r="AI24" s="708" t="str">
        <f>IFERROR('2. Roles &amp; Pricing'!AK179/40,"")</f>
        <v/>
      </c>
      <c r="AJ24" s="708" t="str">
        <f>IFERROR('2. Roles &amp; Pricing'!AL179/40,"")</f>
        <v/>
      </c>
      <c r="AK24" s="708" t="str">
        <f>IFERROR('2. Roles &amp; Pricing'!AM179/40,"")</f>
        <v/>
      </c>
      <c r="AL24" s="708" t="str">
        <f>IFERROR('2. Roles &amp; Pricing'!AN179/40,"")</f>
        <v/>
      </c>
      <c r="AM24" s="708" t="str">
        <f>IFERROR('2. Roles &amp; Pricing'!AO179/40,"")</f>
        <v/>
      </c>
      <c r="AN24" s="708" t="str">
        <f>IFERROR('2. Roles &amp; Pricing'!AP179/40,"")</f>
        <v/>
      </c>
      <c r="AO24" s="708" t="str">
        <f>IFERROR('2. Roles &amp; Pricing'!AQ179/40,"")</f>
        <v/>
      </c>
      <c r="AP24" s="708" t="str">
        <f>IFERROR('2. Roles &amp; Pricing'!AR179/40,"")</f>
        <v/>
      </c>
      <c r="AQ24" s="708" t="str">
        <f>IFERROR('2. Roles &amp; Pricing'!AS179/40,"")</f>
        <v/>
      </c>
      <c r="AR24" s="708" t="str">
        <f>IFERROR('2. Roles &amp; Pricing'!AT179/40,"")</f>
        <v/>
      </c>
      <c r="AS24" s="708" t="str">
        <f>IFERROR('2. Roles &amp; Pricing'!AU179/40,"")</f>
        <v/>
      </c>
      <c r="AT24" s="708" t="str">
        <f>IFERROR('2. Roles &amp; Pricing'!AV179/40,"")</f>
        <v/>
      </c>
      <c r="AU24" s="708" t="str">
        <f>IFERROR('2. Roles &amp; Pricing'!AW179/40,"")</f>
        <v/>
      </c>
      <c r="AV24" s="708" t="str">
        <f>IFERROR('2. Roles &amp; Pricing'!AX179/40,"")</f>
        <v/>
      </c>
      <c r="AW24" s="708" t="str">
        <f>IFERROR('2. Roles &amp; Pricing'!AY179/40,"")</f>
        <v/>
      </c>
      <c r="AX24" s="708" t="str">
        <f>IFERROR('2. Roles &amp; Pricing'!AZ179/40,"")</f>
        <v/>
      </c>
      <c r="AY24" s="708" t="str">
        <f>IFERROR('2. Roles &amp; Pricing'!BA179/40,"")</f>
        <v/>
      </c>
      <c r="AZ24" s="708" t="str">
        <f>IFERROR('2. Roles &amp; Pricing'!BB179/40,"")</f>
        <v/>
      </c>
      <c r="BA24" s="708" t="str">
        <f>IFERROR('2. Roles &amp; Pricing'!BC179/40,"")</f>
        <v/>
      </c>
      <c r="BB24" s="708" t="str">
        <f>IFERROR('2. Roles &amp; Pricing'!BD179/40,"")</f>
        <v/>
      </c>
      <c r="BC24" s="708" t="str">
        <f>IFERROR('2. Roles &amp; Pricing'!BE179/40,"")</f>
        <v/>
      </c>
      <c r="BD24" s="708" t="str">
        <f>IFERROR('2. Roles &amp; Pricing'!BF179/40,"")</f>
        <v/>
      </c>
      <c r="BE24" s="708" t="str">
        <f>IFERROR('2. Roles &amp; Pricing'!BG179/40,"")</f>
        <v/>
      </c>
      <c r="BF24" s="708" t="str">
        <f>IFERROR('2. Roles &amp; Pricing'!BH179/40,"")</f>
        <v/>
      </c>
      <c r="BG24" s="708" t="str">
        <f>IFERROR('2. Roles &amp; Pricing'!BI179/40,"")</f>
        <v/>
      </c>
      <c r="BH24" s="708" t="str">
        <f>IFERROR('2. Roles &amp; Pricing'!BJ179/40,"")</f>
        <v/>
      </c>
      <c r="BI24" s="708" t="str">
        <f>IFERROR('2. Roles &amp; Pricing'!BK179/40,"")</f>
        <v/>
      </c>
      <c r="BJ24" s="708" t="str">
        <f>IFERROR('2. Roles &amp; Pricing'!BL179/40,"")</f>
        <v/>
      </c>
      <c r="BK24" s="708" t="str">
        <f>IFERROR('2. Roles &amp; Pricing'!BM179/40,"")</f>
        <v/>
      </c>
      <c r="BL24" s="708" t="str">
        <f>IFERROR('2. Roles &amp; Pricing'!BN179/40,"")</f>
        <v/>
      </c>
      <c r="BM24" s="708" t="str">
        <f>IFERROR('2. Roles &amp; Pricing'!BO179/40,"")</f>
        <v/>
      </c>
      <c r="BN24" s="212">
        <f t="shared" si="49"/>
        <v>0</v>
      </c>
      <c r="BO24" s="213">
        <f t="shared" si="50"/>
        <v>0</v>
      </c>
      <c r="BP24" s="199" t="str">
        <f>'2. Roles &amp; Pricing'!D300</f>
        <v/>
      </c>
      <c r="BQ24" s="199">
        <f>'2. Roles &amp; Pricing'!F300</f>
        <v>0</v>
      </c>
      <c r="BR24" s="623">
        <f>'2. Roles &amp; Pricing'!F300</f>
        <v>0</v>
      </c>
      <c r="BS24" s="200">
        <f>'2. Roles &amp; Pricing'!I300</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11</v>
      </c>
      <c r="B25" s="206">
        <v>3</v>
      </c>
      <c r="C25" s="207" t="str">
        <f t="shared" si="46"/>
        <v>0__</v>
      </c>
      <c r="D25" s="207" t="str">
        <f t="shared" si="47"/>
        <v>0____0</v>
      </c>
      <c r="E25" s="207">
        <v>20</v>
      </c>
      <c r="F25" s="207">
        <v>10</v>
      </c>
      <c r="G25" s="208">
        <f>'2. Roles &amp; Pricing'!D58</f>
        <v>0</v>
      </c>
      <c r="H25" s="209" t="str">
        <f>'2. Roles &amp; Pricing'!E58</f>
        <v/>
      </c>
      <c r="I25" s="210">
        <f>'2. Roles &amp; Pricing'!F58</f>
        <v>0</v>
      </c>
      <c r="J25" s="210">
        <f>'2. Roles &amp; Pricing'!K58</f>
        <v>0</v>
      </c>
      <c r="K25" s="197" t="str">
        <f>'2. Roles &amp; Pricing'!W58</f>
        <v xml:space="preserve"> </v>
      </c>
      <c r="L25" s="209"/>
      <c r="M25" s="210"/>
      <c r="N25" s="707" t="str">
        <f>IFERROR('2. Roles &amp; Pricing'!F180/40,"")</f>
        <v/>
      </c>
      <c r="O25" s="707" t="str">
        <f>IFERROR('2. Roles &amp; Pricing'!I180/40,"")</f>
        <v/>
      </c>
      <c r="P25" s="707" t="str">
        <f>IFERROR('2. Roles &amp; Pricing'!K180/40,"")</f>
        <v/>
      </c>
      <c r="Q25" s="707" t="str">
        <f>IFERROR('2. Roles &amp; Pricing'!L180/40,"")</f>
        <v/>
      </c>
      <c r="R25" s="707" t="str">
        <f>IFERROR('2. Roles &amp; Pricing'!M180/40,"")</f>
        <v/>
      </c>
      <c r="S25" s="707" t="str">
        <f>IFERROR('2. Roles &amp; Pricing'!N180/40,"")</f>
        <v/>
      </c>
      <c r="T25" s="707" t="str">
        <f>IFERROR('2. Roles &amp; Pricing'!O180/40,"")</f>
        <v/>
      </c>
      <c r="U25" s="709" t="str">
        <f>IFERROR('2. Roles &amp; Pricing'!P180/40,"")</f>
        <v/>
      </c>
      <c r="V25" s="709" t="str">
        <f>IFERROR('2. Roles &amp; Pricing'!Q180/40,"")</f>
        <v/>
      </c>
      <c r="W25" s="709" t="str">
        <f>IFERROR('2. Roles &amp; Pricing'!R180/40,"")</f>
        <v/>
      </c>
      <c r="X25" s="708" t="str">
        <f>IFERROR('2. Roles &amp; Pricing'!S180/40,"")</f>
        <v/>
      </c>
      <c r="Y25" s="708" t="str">
        <f>IFERROR('2. Roles &amp; Pricing'!T180/40,"")</f>
        <v/>
      </c>
      <c r="Z25" s="708" t="str">
        <f>IFERROR('2. Roles &amp; Pricing'!U180/40,"")</f>
        <v/>
      </c>
      <c r="AA25" s="708" t="str">
        <f>IFERROR('2. Roles &amp; Pricing'!Y180/40,"")</f>
        <v/>
      </c>
      <c r="AB25" s="708" t="str">
        <f>IFERROR('2. Roles &amp; Pricing'!Z180/40,"")</f>
        <v/>
      </c>
      <c r="AC25" s="708" t="str">
        <f>IFERROR('2. Roles &amp; Pricing'!AA180/40,"")</f>
        <v/>
      </c>
      <c r="AD25" s="708" t="str">
        <f>IFERROR('2. Roles &amp; Pricing'!AB180/40,"")</f>
        <v/>
      </c>
      <c r="AE25" s="708" t="str">
        <f>IFERROR('2. Roles &amp; Pricing'!AG180/40,"")</f>
        <v/>
      </c>
      <c r="AF25" s="708" t="str">
        <f>IFERROR('2. Roles &amp; Pricing'!AH180/40,"")</f>
        <v/>
      </c>
      <c r="AG25" s="708" t="str">
        <f>IFERROR('2. Roles &amp; Pricing'!AI180/40,"")</f>
        <v/>
      </c>
      <c r="AH25" s="708" t="str">
        <f>IFERROR('2. Roles &amp; Pricing'!AJ180/40,"")</f>
        <v/>
      </c>
      <c r="AI25" s="708" t="str">
        <f>IFERROR('2. Roles &amp; Pricing'!AK180/40,"")</f>
        <v/>
      </c>
      <c r="AJ25" s="708" t="str">
        <f>IFERROR('2. Roles &amp; Pricing'!AL180/40,"")</f>
        <v/>
      </c>
      <c r="AK25" s="708" t="str">
        <f>IFERROR('2. Roles &amp; Pricing'!AM180/40,"")</f>
        <v/>
      </c>
      <c r="AL25" s="708" t="str">
        <f>IFERROR('2. Roles &amp; Pricing'!AN180/40,"")</f>
        <v/>
      </c>
      <c r="AM25" s="708" t="str">
        <f>IFERROR('2. Roles &amp; Pricing'!AO180/40,"")</f>
        <v/>
      </c>
      <c r="AN25" s="708" t="str">
        <f>IFERROR('2. Roles &amp; Pricing'!AP180/40,"")</f>
        <v/>
      </c>
      <c r="AO25" s="708" t="str">
        <f>IFERROR('2. Roles &amp; Pricing'!AQ180/40,"")</f>
        <v/>
      </c>
      <c r="AP25" s="708" t="str">
        <f>IFERROR('2. Roles &amp; Pricing'!AR180/40,"")</f>
        <v/>
      </c>
      <c r="AQ25" s="708" t="str">
        <f>IFERROR('2. Roles &amp; Pricing'!AS180/40,"")</f>
        <v/>
      </c>
      <c r="AR25" s="708" t="str">
        <f>IFERROR('2. Roles &amp; Pricing'!AT180/40,"")</f>
        <v/>
      </c>
      <c r="AS25" s="708" t="str">
        <f>IFERROR('2. Roles &amp; Pricing'!AU180/40,"")</f>
        <v/>
      </c>
      <c r="AT25" s="708" t="str">
        <f>IFERROR('2. Roles &amp; Pricing'!AV180/40,"")</f>
        <v/>
      </c>
      <c r="AU25" s="708" t="str">
        <f>IFERROR('2. Roles &amp; Pricing'!AW180/40,"")</f>
        <v/>
      </c>
      <c r="AV25" s="708" t="str">
        <f>IFERROR('2. Roles &amp; Pricing'!AX180/40,"")</f>
        <v/>
      </c>
      <c r="AW25" s="708" t="str">
        <f>IFERROR('2. Roles &amp; Pricing'!AY180/40,"")</f>
        <v/>
      </c>
      <c r="AX25" s="708" t="str">
        <f>IFERROR('2. Roles &amp; Pricing'!AZ180/40,"")</f>
        <v/>
      </c>
      <c r="AY25" s="708" t="str">
        <f>IFERROR('2. Roles &amp; Pricing'!BA180/40,"")</f>
        <v/>
      </c>
      <c r="AZ25" s="708" t="str">
        <f>IFERROR('2. Roles &amp; Pricing'!BB180/40,"")</f>
        <v/>
      </c>
      <c r="BA25" s="708" t="str">
        <f>IFERROR('2. Roles &amp; Pricing'!BC180/40,"")</f>
        <v/>
      </c>
      <c r="BB25" s="708" t="str">
        <f>IFERROR('2. Roles &amp; Pricing'!BD180/40,"")</f>
        <v/>
      </c>
      <c r="BC25" s="708" t="str">
        <f>IFERROR('2. Roles &amp; Pricing'!BE180/40,"")</f>
        <v/>
      </c>
      <c r="BD25" s="708" t="str">
        <f>IFERROR('2. Roles &amp; Pricing'!BF180/40,"")</f>
        <v/>
      </c>
      <c r="BE25" s="708" t="str">
        <f>IFERROR('2. Roles &amp; Pricing'!BG180/40,"")</f>
        <v/>
      </c>
      <c r="BF25" s="708" t="str">
        <f>IFERROR('2. Roles &amp; Pricing'!BH180/40,"")</f>
        <v/>
      </c>
      <c r="BG25" s="708" t="str">
        <f>IFERROR('2. Roles &amp; Pricing'!BI180/40,"")</f>
        <v/>
      </c>
      <c r="BH25" s="708" t="str">
        <f>IFERROR('2. Roles &amp; Pricing'!BJ180/40,"")</f>
        <v/>
      </c>
      <c r="BI25" s="708" t="str">
        <f>IFERROR('2. Roles &amp; Pricing'!BK180/40,"")</f>
        <v/>
      </c>
      <c r="BJ25" s="708" t="str">
        <f>IFERROR('2. Roles &amp; Pricing'!BL180/40,"")</f>
        <v/>
      </c>
      <c r="BK25" s="708" t="str">
        <f>IFERROR('2. Roles &amp; Pricing'!BM180/40,"")</f>
        <v/>
      </c>
      <c r="BL25" s="708" t="str">
        <f>IFERROR('2. Roles &amp; Pricing'!BN180/40,"")</f>
        <v/>
      </c>
      <c r="BM25" s="708" t="str">
        <f>IFERROR('2. Roles &amp; Pricing'!BO180/40,"")</f>
        <v/>
      </c>
      <c r="BN25" s="212">
        <f t="shared" si="49"/>
        <v>0</v>
      </c>
      <c r="BO25" s="213">
        <f t="shared" si="50"/>
        <v>0</v>
      </c>
      <c r="BP25" s="199" t="str">
        <f>'2. Roles &amp; Pricing'!D301</f>
        <v/>
      </c>
      <c r="BQ25" s="199">
        <f>'2. Roles &amp; Pricing'!F301</f>
        <v>0</v>
      </c>
      <c r="BR25" s="623">
        <f>'2. Roles &amp; Pricing'!F301</f>
        <v>0</v>
      </c>
      <c r="BS25" s="200">
        <f>'2. Roles &amp; Pricing'!I301</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12</v>
      </c>
      <c r="B26" s="206">
        <v>3</v>
      </c>
      <c r="C26" s="207" t="str">
        <f t="shared" si="46"/>
        <v>0__</v>
      </c>
      <c r="D26" s="207" t="str">
        <f t="shared" si="47"/>
        <v>0____0</v>
      </c>
      <c r="E26" s="207">
        <v>20</v>
      </c>
      <c r="F26" s="207">
        <v>10</v>
      </c>
      <c r="G26" s="208">
        <f>'2. Roles &amp; Pricing'!D59</f>
        <v>0</v>
      </c>
      <c r="H26" s="209" t="str">
        <f>'2. Roles &amp; Pricing'!E59</f>
        <v/>
      </c>
      <c r="I26" s="210">
        <f>'2. Roles &amp; Pricing'!F59</f>
        <v>0</v>
      </c>
      <c r="J26" s="210">
        <f>'2. Roles &amp; Pricing'!K59</f>
        <v>0</v>
      </c>
      <c r="K26" s="197" t="str">
        <f>'2. Roles &amp; Pricing'!W59</f>
        <v xml:space="preserve"> </v>
      </c>
      <c r="L26" s="209"/>
      <c r="M26" s="210"/>
      <c r="N26" s="707" t="str">
        <f>IFERROR('2. Roles &amp; Pricing'!F181/40,"")</f>
        <v/>
      </c>
      <c r="O26" s="707" t="str">
        <f>IFERROR('2. Roles &amp; Pricing'!I181/40,"")</f>
        <v/>
      </c>
      <c r="P26" s="707" t="str">
        <f>IFERROR('2. Roles &amp; Pricing'!K181/40,"")</f>
        <v/>
      </c>
      <c r="Q26" s="707" t="str">
        <f>IFERROR('2. Roles &amp; Pricing'!L181/40,"")</f>
        <v/>
      </c>
      <c r="R26" s="707" t="str">
        <f>IFERROR('2. Roles &amp; Pricing'!M181/40,"")</f>
        <v/>
      </c>
      <c r="S26" s="707" t="str">
        <f>IFERROR('2. Roles &amp; Pricing'!N181/40,"")</f>
        <v/>
      </c>
      <c r="T26" s="707" t="str">
        <f>IFERROR('2. Roles &amp; Pricing'!O181/40,"")</f>
        <v/>
      </c>
      <c r="U26" s="709" t="str">
        <f>IFERROR('2. Roles &amp; Pricing'!P181/40,"")</f>
        <v/>
      </c>
      <c r="V26" s="709" t="str">
        <f>IFERROR('2. Roles &amp; Pricing'!Q181/40,"")</f>
        <v/>
      </c>
      <c r="W26" s="709" t="str">
        <f>IFERROR('2. Roles &amp; Pricing'!R181/40,"")</f>
        <v/>
      </c>
      <c r="X26" s="708" t="str">
        <f>IFERROR('2. Roles &amp; Pricing'!S181/40,"")</f>
        <v/>
      </c>
      <c r="Y26" s="708" t="str">
        <f>IFERROR('2. Roles &amp; Pricing'!T181/40,"")</f>
        <v/>
      </c>
      <c r="Z26" s="708" t="str">
        <f>IFERROR('2. Roles &amp; Pricing'!U181/40,"")</f>
        <v/>
      </c>
      <c r="AA26" s="708" t="str">
        <f>IFERROR('2. Roles &amp; Pricing'!Y181/40,"")</f>
        <v/>
      </c>
      <c r="AB26" s="708" t="str">
        <f>IFERROR('2. Roles &amp; Pricing'!Z181/40,"")</f>
        <v/>
      </c>
      <c r="AC26" s="708" t="str">
        <f>IFERROR('2. Roles &amp; Pricing'!AA181/40,"")</f>
        <v/>
      </c>
      <c r="AD26" s="708" t="str">
        <f>IFERROR('2. Roles &amp; Pricing'!AB181/40,"")</f>
        <v/>
      </c>
      <c r="AE26" s="708" t="str">
        <f>IFERROR('2. Roles &amp; Pricing'!AG181/40,"")</f>
        <v/>
      </c>
      <c r="AF26" s="708" t="str">
        <f>IFERROR('2. Roles &amp; Pricing'!AH181/40,"")</f>
        <v/>
      </c>
      <c r="AG26" s="708" t="str">
        <f>IFERROR('2. Roles &amp; Pricing'!AI181/40,"")</f>
        <v/>
      </c>
      <c r="AH26" s="708" t="str">
        <f>IFERROR('2. Roles &amp; Pricing'!AJ181/40,"")</f>
        <v/>
      </c>
      <c r="AI26" s="708" t="str">
        <f>IFERROR('2. Roles &amp; Pricing'!AK181/40,"")</f>
        <v/>
      </c>
      <c r="AJ26" s="708" t="str">
        <f>IFERROR('2. Roles &amp; Pricing'!AL181/40,"")</f>
        <v/>
      </c>
      <c r="AK26" s="708" t="str">
        <f>IFERROR('2. Roles &amp; Pricing'!AM181/40,"")</f>
        <v/>
      </c>
      <c r="AL26" s="708" t="str">
        <f>IFERROR('2. Roles &amp; Pricing'!AN181/40,"")</f>
        <v/>
      </c>
      <c r="AM26" s="708" t="str">
        <f>IFERROR('2. Roles &amp; Pricing'!AO181/40,"")</f>
        <v/>
      </c>
      <c r="AN26" s="708" t="str">
        <f>IFERROR('2. Roles &amp; Pricing'!AP181/40,"")</f>
        <v/>
      </c>
      <c r="AO26" s="708" t="str">
        <f>IFERROR('2. Roles &amp; Pricing'!AQ181/40,"")</f>
        <v/>
      </c>
      <c r="AP26" s="708" t="str">
        <f>IFERROR('2. Roles &amp; Pricing'!AR181/40,"")</f>
        <v/>
      </c>
      <c r="AQ26" s="708" t="str">
        <f>IFERROR('2. Roles &amp; Pricing'!AS181/40,"")</f>
        <v/>
      </c>
      <c r="AR26" s="708" t="str">
        <f>IFERROR('2. Roles &amp; Pricing'!AT181/40,"")</f>
        <v/>
      </c>
      <c r="AS26" s="708" t="str">
        <f>IFERROR('2. Roles &amp; Pricing'!AU181/40,"")</f>
        <v/>
      </c>
      <c r="AT26" s="708" t="str">
        <f>IFERROR('2. Roles &amp; Pricing'!AV181/40,"")</f>
        <v/>
      </c>
      <c r="AU26" s="708" t="str">
        <f>IFERROR('2. Roles &amp; Pricing'!AW181/40,"")</f>
        <v/>
      </c>
      <c r="AV26" s="708" t="str">
        <f>IFERROR('2. Roles &amp; Pricing'!AX181/40,"")</f>
        <v/>
      </c>
      <c r="AW26" s="708" t="str">
        <f>IFERROR('2. Roles &amp; Pricing'!AY181/40,"")</f>
        <v/>
      </c>
      <c r="AX26" s="708" t="str">
        <f>IFERROR('2. Roles &amp; Pricing'!AZ181/40,"")</f>
        <v/>
      </c>
      <c r="AY26" s="708" t="str">
        <f>IFERROR('2. Roles &amp; Pricing'!BA181/40,"")</f>
        <v/>
      </c>
      <c r="AZ26" s="708" t="str">
        <f>IFERROR('2. Roles &amp; Pricing'!BB181/40,"")</f>
        <v/>
      </c>
      <c r="BA26" s="708" t="str">
        <f>IFERROR('2. Roles &amp; Pricing'!BC181/40,"")</f>
        <v/>
      </c>
      <c r="BB26" s="708" t="str">
        <f>IFERROR('2. Roles &amp; Pricing'!BD181/40,"")</f>
        <v/>
      </c>
      <c r="BC26" s="708" t="str">
        <f>IFERROR('2. Roles &amp; Pricing'!BE181/40,"")</f>
        <v/>
      </c>
      <c r="BD26" s="708" t="str">
        <f>IFERROR('2. Roles &amp; Pricing'!BF181/40,"")</f>
        <v/>
      </c>
      <c r="BE26" s="708" t="str">
        <f>IFERROR('2. Roles &amp; Pricing'!BG181/40,"")</f>
        <v/>
      </c>
      <c r="BF26" s="708" t="str">
        <f>IFERROR('2. Roles &amp; Pricing'!BH181/40,"")</f>
        <v/>
      </c>
      <c r="BG26" s="708" t="str">
        <f>IFERROR('2. Roles &amp; Pricing'!BI181/40,"")</f>
        <v/>
      </c>
      <c r="BH26" s="708" t="str">
        <f>IFERROR('2. Roles &amp; Pricing'!BJ181/40,"")</f>
        <v/>
      </c>
      <c r="BI26" s="708" t="str">
        <f>IFERROR('2. Roles &amp; Pricing'!BK181/40,"")</f>
        <v/>
      </c>
      <c r="BJ26" s="708" t="str">
        <f>IFERROR('2. Roles &amp; Pricing'!BL181/40,"")</f>
        <v/>
      </c>
      <c r="BK26" s="708" t="str">
        <f>IFERROR('2. Roles &amp; Pricing'!BM181/40,"")</f>
        <v/>
      </c>
      <c r="BL26" s="708" t="str">
        <f>IFERROR('2. Roles &amp; Pricing'!BN181/40,"")</f>
        <v/>
      </c>
      <c r="BM26" s="708" t="str">
        <f>IFERROR('2. Roles &amp; Pricing'!BO181/40,"")</f>
        <v/>
      </c>
      <c r="BN26" s="212">
        <f t="shared" si="49"/>
        <v>0</v>
      </c>
      <c r="BO26" s="213">
        <f t="shared" si="50"/>
        <v>0</v>
      </c>
      <c r="BP26" s="199" t="str">
        <f>'2. Roles &amp; Pricing'!D302</f>
        <v/>
      </c>
      <c r="BQ26" s="199">
        <f>'2. Roles &amp; Pricing'!F302</f>
        <v>0</v>
      </c>
      <c r="BR26" s="623">
        <f>'2. Roles &amp; Pricing'!F302</f>
        <v>0</v>
      </c>
      <c r="BS26" s="200">
        <f>'2. Roles &amp; Pricing'!I302</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13</v>
      </c>
      <c r="B27" s="206">
        <v>3</v>
      </c>
      <c r="C27" s="207" t="str">
        <f t="shared" si="46"/>
        <v>0__</v>
      </c>
      <c r="D27" s="207" t="str">
        <f t="shared" si="47"/>
        <v>0____0</v>
      </c>
      <c r="E27" s="207">
        <v>20</v>
      </c>
      <c r="F27" s="207">
        <v>10</v>
      </c>
      <c r="G27" s="208">
        <f>'2. Roles &amp; Pricing'!D60</f>
        <v>0</v>
      </c>
      <c r="H27" s="209" t="str">
        <f>'2. Roles &amp; Pricing'!E60</f>
        <v/>
      </c>
      <c r="I27" s="210">
        <f>'2. Roles &amp; Pricing'!F60</f>
        <v>0</v>
      </c>
      <c r="J27" s="210">
        <f>'2. Roles &amp; Pricing'!K60</f>
        <v>0</v>
      </c>
      <c r="K27" s="197" t="str">
        <f>'2. Roles &amp; Pricing'!W60</f>
        <v xml:space="preserve"> </v>
      </c>
      <c r="L27" s="209"/>
      <c r="M27" s="210"/>
      <c r="N27" s="707" t="str">
        <f>IFERROR('2. Roles &amp; Pricing'!F182/40,"")</f>
        <v/>
      </c>
      <c r="O27" s="707" t="str">
        <f>IFERROR('2. Roles &amp; Pricing'!I182/40,"")</f>
        <v/>
      </c>
      <c r="P27" s="707" t="str">
        <f>IFERROR('2. Roles &amp; Pricing'!K182/40,"")</f>
        <v/>
      </c>
      <c r="Q27" s="707" t="str">
        <f>IFERROR('2. Roles &amp; Pricing'!L182/40,"")</f>
        <v/>
      </c>
      <c r="R27" s="707" t="str">
        <f>IFERROR('2. Roles &amp; Pricing'!M182/40,"")</f>
        <v/>
      </c>
      <c r="S27" s="707" t="str">
        <f>IFERROR('2. Roles &amp; Pricing'!N182/40,"")</f>
        <v/>
      </c>
      <c r="T27" s="707" t="str">
        <f>IFERROR('2. Roles &amp; Pricing'!O182/40,"")</f>
        <v/>
      </c>
      <c r="U27" s="709" t="str">
        <f>IFERROR('2. Roles &amp; Pricing'!P182/40,"")</f>
        <v/>
      </c>
      <c r="V27" s="709" t="str">
        <f>IFERROR('2. Roles &amp; Pricing'!Q182/40,"")</f>
        <v/>
      </c>
      <c r="W27" s="709" t="str">
        <f>IFERROR('2. Roles &amp; Pricing'!R182/40,"")</f>
        <v/>
      </c>
      <c r="X27" s="708" t="str">
        <f>IFERROR('2. Roles &amp; Pricing'!S182/40,"")</f>
        <v/>
      </c>
      <c r="Y27" s="708" t="str">
        <f>IFERROR('2. Roles &amp; Pricing'!T182/40,"")</f>
        <v/>
      </c>
      <c r="Z27" s="708" t="str">
        <f>IFERROR('2. Roles &amp; Pricing'!U182/40,"")</f>
        <v/>
      </c>
      <c r="AA27" s="708" t="str">
        <f>IFERROR('2. Roles &amp; Pricing'!Y182/40,"")</f>
        <v/>
      </c>
      <c r="AB27" s="708" t="str">
        <f>IFERROR('2. Roles &amp; Pricing'!Z182/40,"")</f>
        <v/>
      </c>
      <c r="AC27" s="708" t="str">
        <f>IFERROR('2. Roles &amp; Pricing'!AA182/40,"")</f>
        <v/>
      </c>
      <c r="AD27" s="708" t="str">
        <f>IFERROR('2. Roles &amp; Pricing'!AB182/40,"")</f>
        <v/>
      </c>
      <c r="AE27" s="708" t="str">
        <f>IFERROR('2. Roles &amp; Pricing'!AG182/40,"")</f>
        <v/>
      </c>
      <c r="AF27" s="708" t="str">
        <f>IFERROR('2. Roles &amp; Pricing'!AH182/40,"")</f>
        <v/>
      </c>
      <c r="AG27" s="708" t="str">
        <f>IFERROR('2. Roles &amp; Pricing'!AI182/40,"")</f>
        <v/>
      </c>
      <c r="AH27" s="708" t="str">
        <f>IFERROR('2. Roles &amp; Pricing'!AJ182/40,"")</f>
        <v/>
      </c>
      <c r="AI27" s="708" t="str">
        <f>IFERROR('2. Roles &amp; Pricing'!AK182/40,"")</f>
        <v/>
      </c>
      <c r="AJ27" s="708" t="str">
        <f>IFERROR('2. Roles &amp; Pricing'!AL182/40,"")</f>
        <v/>
      </c>
      <c r="AK27" s="708" t="str">
        <f>IFERROR('2. Roles &amp; Pricing'!AM182/40,"")</f>
        <v/>
      </c>
      <c r="AL27" s="708" t="str">
        <f>IFERROR('2. Roles &amp; Pricing'!AN182/40,"")</f>
        <v/>
      </c>
      <c r="AM27" s="708" t="str">
        <f>IFERROR('2. Roles &amp; Pricing'!AO182/40,"")</f>
        <v/>
      </c>
      <c r="AN27" s="708" t="str">
        <f>IFERROR('2. Roles &amp; Pricing'!AP182/40,"")</f>
        <v/>
      </c>
      <c r="AO27" s="708" t="str">
        <f>IFERROR('2. Roles &amp; Pricing'!AQ182/40,"")</f>
        <v/>
      </c>
      <c r="AP27" s="708" t="str">
        <f>IFERROR('2. Roles &amp; Pricing'!AR182/40,"")</f>
        <v/>
      </c>
      <c r="AQ27" s="708" t="str">
        <f>IFERROR('2. Roles &amp; Pricing'!AS182/40,"")</f>
        <v/>
      </c>
      <c r="AR27" s="708" t="str">
        <f>IFERROR('2. Roles &amp; Pricing'!AT182/40,"")</f>
        <v/>
      </c>
      <c r="AS27" s="708" t="str">
        <f>IFERROR('2. Roles &amp; Pricing'!AU182/40,"")</f>
        <v/>
      </c>
      <c r="AT27" s="708" t="str">
        <f>IFERROR('2. Roles &amp; Pricing'!AV182/40,"")</f>
        <v/>
      </c>
      <c r="AU27" s="708" t="str">
        <f>IFERROR('2. Roles &amp; Pricing'!AW182/40,"")</f>
        <v/>
      </c>
      <c r="AV27" s="708" t="str">
        <f>IFERROR('2. Roles &amp; Pricing'!AX182/40,"")</f>
        <v/>
      </c>
      <c r="AW27" s="708" t="str">
        <f>IFERROR('2. Roles &amp; Pricing'!AY182/40,"")</f>
        <v/>
      </c>
      <c r="AX27" s="708" t="str">
        <f>IFERROR('2. Roles &amp; Pricing'!AZ182/40,"")</f>
        <v/>
      </c>
      <c r="AY27" s="708" t="str">
        <f>IFERROR('2. Roles &amp; Pricing'!BA182/40,"")</f>
        <v/>
      </c>
      <c r="AZ27" s="708" t="str">
        <f>IFERROR('2. Roles &amp; Pricing'!BB182/40,"")</f>
        <v/>
      </c>
      <c r="BA27" s="708" t="str">
        <f>IFERROR('2. Roles &amp; Pricing'!BC182/40,"")</f>
        <v/>
      </c>
      <c r="BB27" s="708" t="str">
        <f>IFERROR('2. Roles &amp; Pricing'!BD182/40,"")</f>
        <v/>
      </c>
      <c r="BC27" s="708" t="str">
        <f>IFERROR('2. Roles &amp; Pricing'!BE182/40,"")</f>
        <v/>
      </c>
      <c r="BD27" s="708" t="str">
        <f>IFERROR('2. Roles &amp; Pricing'!BF182/40,"")</f>
        <v/>
      </c>
      <c r="BE27" s="708" t="str">
        <f>IFERROR('2. Roles &amp; Pricing'!BG182/40,"")</f>
        <v/>
      </c>
      <c r="BF27" s="708" t="str">
        <f>IFERROR('2. Roles &amp; Pricing'!BH182/40,"")</f>
        <v/>
      </c>
      <c r="BG27" s="708" t="str">
        <f>IFERROR('2. Roles &amp; Pricing'!BI182/40,"")</f>
        <v/>
      </c>
      <c r="BH27" s="708" t="str">
        <f>IFERROR('2. Roles &amp; Pricing'!BJ182/40,"")</f>
        <v/>
      </c>
      <c r="BI27" s="708" t="str">
        <f>IFERROR('2. Roles &amp; Pricing'!BK182/40,"")</f>
        <v/>
      </c>
      <c r="BJ27" s="708" t="str">
        <f>IFERROR('2. Roles &amp; Pricing'!BL182/40,"")</f>
        <v/>
      </c>
      <c r="BK27" s="708" t="str">
        <f>IFERROR('2. Roles &amp; Pricing'!BM182/40,"")</f>
        <v/>
      </c>
      <c r="BL27" s="708" t="str">
        <f>IFERROR('2. Roles &amp; Pricing'!BN182/40,"")</f>
        <v/>
      </c>
      <c r="BM27" s="708" t="str">
        <f>IFERROR('2. Roles &amp; Pricing'!BO182/40,"")</f>
        <v/>
      </c>
      <c r="BN27" s="212">
        <f t="shared" si="49"/>
        <v>0</v>
      </c>
      <c r="BO27" s="213">
        <f t="shared" si="50"/>
        <v>0</v>
      </c>
      <c r="BP27" s="199" t="str">
        <f>'2. Roles &amp; Pricing'!D303</f>
        <v/>
      </c>
      <c r="BQ27" s="199">
        <f>'2. Roles &amp; Pricing'!F303</f>
        <v>0</v>
      </c>
      <c r="BR27" s="623">
        <f>'2. Roles &amp; Pricing'!F303</f>
        <v>0</v>
      </c>
      <c r="BS27" s="200">
        <f>'2. Roles &amp; Pricing'!I303</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14</v>
      </c>
      <c r="B28" s="206">
        <v>3</v>
      </c>
      <c r="C28" s="207" t="str">
        <f t="shared" si="46"/>
        <v>0__</v>
      </c>
      <c r="D28" s="207" t="str">
        <f t="shared" si="47"/>
        <v>0____0</v>
      </c>
      <c r="E28" s="207">
        <v>20</v>
      </c>
      <c r="F28" s="207">
        <v>10</v>
      </c>
      <c r="G28" s="208">
        <f>'2. Roles &amp; Pricing'!D61</f>
        <v>0</v>
      </c>
      <c r="H28" s="209" t="str">
        <f>'2. Roles &amp; Pricing'!E61</f>
        <v/>
      </c>
      <c r="I28" s="210">
        <f>'2. Roles &amp; Pricing'!F61</f>
        <v>0</v>
      </c>
      <c r="J28" s="210">
        <f>'2. Roles &amp; Pricing'!K61</f>
        <v>0</v>
      </c>
      <c r="K28" s="197" t="str">
        <f>'2. Roles &amp; Pricing'!W61</f>
        <v xml:space="preserve"> </v>
      </c>
      <c r="L28" s="209"/>
      <c r="M28" s="210"/>
      <c r="N28" s="707" t="str">
        <f>IFERROR('2. Roles &amp; Pricing'!F183/40,"")</f>
        <v/>
      </c>
      <c r="O28" s="707" t="str">
        <f>IFERROR('2. Roles &amp; Pricing'!I183/40,"")</f>
        <v/>
      </c>
      <c r="P28" s="707" t="str">
        <f>IFERROR('2. Roles &amp; Pricing'!K183/40,"")</f>
        <v/>
      </c>
      <c r="Q28" s="707" t="str">
        <f>IFERROR('2. Roles &amp; Pricing'!L183/40,"")</f>
        <v/>
      </c>
      <c r="R28" s="707" t="str">
        <f>IFERROR('2. Roles &amp; Pricing'!M183/40,"")</f>
        <v/>
      </c>
      <c r="S28" s="707" t="str">
        <f>IFERROR('2. Roles &amp; Pricing'!N183/40,"")</f>
        <v/>
      </c>
      <c r="T28" s="707" t="str">
        <f>IFERROR('2. Roles &amp; Pricing'!O183/40,"")</f>
        <v/>
      </c>
      <c r="U28" s="709" t="str">
        <f>IFERROR('2. Roles &amp; Pricing'!P183/40,"")</f>
        <v/>
      </c>
      <c r="V28" s="709" t="str">
        <f>IFERROR('2. Roles &amp; Pricing'!Q183/40,"")</f>
        <v/>
      </c>
      <c r="W28" s="709" t="str">
        <f>IFERROR('2. Roles &amp; Pricing'!R183/40,"")</f>
        <v/>
      </c>
      <c r="X28" s="708" t="str">
        <f>IFERROR('2. Roles &amp; Pricing'!S183/40,"")</f>
        <v/>
      </c>
      <c r="Y28" s="708" t="str">
        <f>IFERROR('2. Roles &amp; Pricing'!T183/40,"")</f>
        <v/>
      </c>
      <c r="Z28" s="708" t="str">
        <f>IFERROR('2. Roles &amp; Pricing'!U183/40,"")</f>
        <v/>
      </c>
      <c r="AA28" s="708" t="str">
        <f>IFERROR('2. Roles &amp; Pricing'!Y183/40,"")</f>
        <v/>
      </c>
      <c r="AB28" s="708" t="str">
        <f>IFERROR('2. Roles &amp; Pricing'!Z183/40,"")</f>
        <v/>
      </c>
      <c r="AC28" s="708" t="str">
        <f>IFERROR('2. Roles &amp; Pricing'!AA183/40,"")</f>
        <v/>
      </c>
      <c r="AD28" s="708" t="str">
        <f>IFERROR('2. Roles &amp; Pricing'!AB183/40,"")</f>
        <v/>
      </c>
      <c r="AE28" s="708" t="str">
        <f>IFERROR('2. Roles &amp; Pricing'!AG183/40,"")</f>
        <v/>
      </c>
      <c r="AF28" s="708" t="str">
        <f>IFERROR('2. Roles &amp; Pricing'!AH183/40,"")</f>
        <v/>
      </c>
      <c r="AG28" s="708" t="str">
        <f>IFERROR('2. Roles &amp; Pricing'!AI183/40,"")</f>
        <v/>
      </c>
      <c r="AH28" s="708" t="str">
        <f>IFERROR('2. Roles &amp; Pricing'!AJ183/40,"")</f>
        <v/>
      </c>
      <c r="AI28" s="708" t="str">
        <f>IFERROR('2. Roles &amp; Pricing'!AK183/40,"")</f>
        <v/>
      </c>
      <c r="AJ28" s="708" t="str">
        <f>IFERROR('2. Roles &amp; Pricing'!AL183/40,"")</f>
        <v/>
      </c>
      <c r="AK28" s="708" t="str">
        <f>IFERROR('2. Roles &amp; Pricing'!AM183/40,"")</f>
        <v/>
      </c>
      <c r="AL28" s="708" t="str">
        <f>IFERROR('2. Roles &amp; Pricing'!AN183/40,"")</f>
        <v/>
      </c>
      <c r="AM28" s="708" t="str">
        <f>IFERROR('2. Roles &amp; Pricing'!AO183/40,"")</f>
        <v/>
      </c>
      <c r="AN28" s="708" t="str">
        <f>IFERROR('2. Roles &amp; Pricing'!AP183/40,"")</f>
        <v/>
      </c>
      <c r="AO28" s="708" t="str">
        <f>IFERROR('2. Roles &amp; Pricing'!AQ183/40,"")</f>
        <v/>
      </c>
      <c r="AP28" s="708" t="str">
        <f>IFERROR('2. Roles &amp; Pricing'!AR183/40,"")</f>
        <v/>
      </c>
      <c r="AQ28" s="708" t="str">
        <f>IFERROR('2. Roles &amp; Pricing'!AS183/40,"")</f>
        <v/>
      </c>
      <c r="AR28" s="708" t="str">
        <f>IFERROR('2. Roles &amp; Pricing'!AT183/40,"")</f>
        <v/>
      </c>
      <c r="AS28" s="708" t="str">
        <f>IFERROR('2. Roles &amp; Pricing'!AU183/40,"")</f>
        <v/>
      </c>
      <c r="AT28" s="708" t="str">
        <f>IFERROR('2. Roles &amp; Pricing'!AV183/40,"")</f>
        <v/>
      </c>
      <c r="AU28" s="708" t="str">
        <f>IFERROR('2. Roles &amp; Pricing'!AW183/40,"")</f>
        <v/>
      </c>
      <c r="AV28" s="708" t="str">
        <f>IFERROR('2. Roles &amp; Pricing'!AX183/40,"")</f>
        <v/>
      </c>
      <c r="AW28" s="708" t="str">
        <f>IFERROR('2. Roles &amp; Pricing'!AY183/40,"")</f>
        <v/>
      </c>
      <c r="AX28" s="708" t="str">
        <f>IFERROR('2. Roles &amp; Pricing'!AZ183/40,"")</f>
        <v/>
      </c>
      <c r="AY28" s="708" t="str">
        <f>IFERROR('2. Roles &amp; Pricing'!BA183/40,"")</f>
        <v/>
      </c>
      <c r="AZ28" s="708" t="str">
        <f>IFERROR('2. Roles &amp; Pricing'!BB183/40,"")</f>
        <v/>
      </c>
      <c r="BA28" s="708" t="str">
        <f>IFERROR('2. Roles &amp; Pricing'!BC183/40,"")</f>
        <v/>
      </c>
      <c r="BB28" s="708" t="str">
        <f>IFERROR('2. Roles &amp; Pricing'!BD183/40,"")</f>
        <v/>
      </c>
      <c r="BC28" s="708" t="str">
        <f>IFERROR('2. Roles &amp; Pricing'!BE183/40,"")</f>
        <v/>
      </c>
      <c r="BD28" s="708" t="str">
        <f>IFERROR('2. Roles &amp; Pricing'!BF183/40,"")</f>
        <v/>
      </c>
      <c r="BE28" s="708" t="str">
        <f>IFERROR('2. Roles &amp; Pricing'!BG183/40,"")</f>
        <v/>
      </c>
      <c r="BF28" s="708" t="str">
        <f>IFERROR('2. Roles &amp; Pricing'!BH183/40,"")</f>
        <v/>
      </c>
      <c r="BG28" s="708" t="str">
        <f>IFERROR('2. Roles &amp; Pricing'!BI183/40,"")</f>
        <v/>
      </c>
      <c r="BH28" s="708" t="str">
        <f>IFERROR('2. Roles &amp; Pricing'!BJ183/40,"")</f>
        <v/>
      </c>
      <c r="BI28" s="708" t="str">
        <f>IFERROR('2. Roles &amp; Pricing'!BK183/40,"")</f>
        <v/>
      </c>
      <c r="BJ28" s="708" t="str">
        <f>IFERROR('2. Roles &amp; Pricing'!BL183/40,"")</f>
        <v/>
      </c>
      <c r="BK28" s="708" t="str">
        <f>IFERROR('2. Roles &amp; Pricing'!BM183/40,"")</f>
        <v/>
      </c>
      <c r="BL28" s="708" t="str">
        <f>IFERROR('2. Roles &amp; Pricing'!BN183/40,"")</f>
        <v/>
      </c>
      <c r="BM28" s="708" t="str">
        <f>IFERROR('2. Roles &amp; Pricing'!BO183/40,"")</f>
        <v/>
      </c>
      <c r="BN28" s="212">
        <f t="shared" si="49"/>
        <v>0</v>
      </c>
      <c r="BO28" s="213">
        <f t="shared" si="50"/>
        <v>0</v>
      </c>
      <c r="BP28" s="199" t="str">
        <f>'2. Roles &amp; Pricing'!D304</f>
        <v/>
      </c>
      <c r="BQ28" s="199">
        <f>'2. Roles &amp; Pricing'!F304</f>
        <v>0</v>
      </c>
      <c r="BR28" s="623">
        <f>'2. Roles &amp; Pricing'!F304</f>
        <v>0</v>
      </c>
      <c r="BS28" s="200">
        <f>'2. Roles &amp; Pricing'!I304</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15</v>
      </c>
      <c r="B29" s="206">
        <v>3</v>
      </c>
      <c r="C29" s="207" t="str">
        <f t="shared" si="46"/>
        <v>0__</v>
      </c>
      <c r="D29" s="207" t="str">
        <f t="shared" si="47"/>
        <v>0____0</v>
      </c>
      <c r="E29" s="207">
        <v>20</v>
      </c>
      <c r="F29" s="207">
        <v>10</v>
      </c>
      <c r="G29" s="208">
        <f>'2. Roles &amp; Pricing'!D62</f>
        <v>0</v>
      </c>
      <c r="H29" s="209" t="str">
        <f>'2. Roles &amp; Pricing'!E62</f>
        <v/>
      </c>
      <c r="I29" s="210">
        <f>'2. Roles &amp; Pricing'!F62</f>
        <v>0</v>
      </c>
      <c r="J29" s="210">
        <f>'2. Roles &amp; Pricing'!K62</f>
        <v>0</v>
      </c>
      <c r="K29" s="197" t="str">
        <f>'2. Roles &amp; Pricing'!W62</f>
        <v xml:space="preserve"> </v>
      </c>
      <c r="L29" s="209"/>
      <c r="M29" s="210"/>
      <c r="N29" s="707" t="str">
        <f>IFERROR('2. Roles &amp; Pricing'!F184/40,"")</f>
        <v/>
      </c>
      <c r="O29" s="707" t="str">
        <f>IFERROR('2. Roles &amp; Pricing'!I184/40,"")</f>
        <v/>
      </c>
      <c r="P29" s="707" t="str">
        <f>IFERROR('2. Roles &amp; Pricing'!K184/40,"")</f>
        <v/>
      </c>
      <c r="Q29" s="707" t="str">
        <f>IFERROR('2. Roles &amp; Pricing'!L184/40,"")</f>
        <v/>
      </c>
      <c r="R29" s="707" t="str">
        <f>IFERROR('2. Roles &amp; Pricing'!M184/40,"")</f>
        <v/>
      </c>
      <c r="S29" s="707" t="str">
        <f>IFERROR('2. Roles &amp; Pricing'!N184/40,"")</f>
        <v/>
      </c>
      <c r="T29" s="707" t="str">
        <f>IFERROR('2. Roles &amp; Pricing'!O184/40,"")</f>
        <v/>
      </c>
      <c r="U29" s="709" t="str">
        <f>IFERROR('2. Roles &amp; Pricing'!P184/40,"")</f>
        <v/>
      </c>
      <c r="V29" s="709" t="str">
        <f>IFERROR('2. Roles &amp; Pricing'!Q184/40,"")</f>
        <v/>
      </c>
      <c r="W29" s="709" t="str">
        <f>IFERROR('2. Roles &amp; Pricing'!R184/40,"")</f>
        <v/>
      </c>
      <c r="X29" s="708" t="str">
        <f>IFERROR('2. Roles &amp; Pricing'!S184/40,"")</f>
        <v/>
      </c>
      <c r="Y29" s="708" t="str">
        <f>IFERROR('2. Roles &amp; Pricing'!T184/40,"")</f>
        <v/>
      </c>
      <c r="Z29" s="708" t="str">
        <f>IFERROR('2. Roles &amp; Pricing'!U184/40,"")</f>
        <v/>
      </c>
      <c r="AA29" s="708" t="str">
        <f>IFERROR('2. Roles &amp; Pricing'!Y184/40,"")</f>
        <v/>
      </c>
      <c r="AB29" s="708" t="str">
        <f>IFERROR('2. Roles &amp; Pricing'!Z184/40,"")</f>
        <v/>
      </c>
      <c r="AC29" s="708" t="str">
        <f>IFERROR('2. Roles &amp; Pricing'!AA184/40,"")</f>
        <v/>
      </c>
      <c r="AD29" s="708" t="str">
        <f>IFERROR('2. Roles &amp; Pricing'!AB184/40,"")</f>
        <v/>
      </c>
      <c r="AE29" s="708" t="str">
        <f>IFERROR('2. Roles &amp; Pricing'!AG184/40,"")</f>
        <v/>
      </c>
      <c r="AF29" s="708" t="str">
        <f>IFERROR('2. Roles &amp; Pricing'!AH184/40,"")</f>
        <v/>
      </c>
      <c r="AG29" s="708" t="str">
        <f>IFERROR('2. Roles &amp; Pricing'!AI184/40,"")</f>
        <v/>
      </c>
      <c r="AH29" s="708" t="str">
        <f>IFERROR('2. Roles &amp; Pricing'!AJ184/40,"")</f>
        <v/>
      </c>
      <c r="AI29" s="708" t="str">
        <f>IFERROR('2. Roles &amp; Pricing'!AK184/40,"")</f>
        <v/>
      </c>
      <c r="AJ29" s="708" t="str">
        <f>IFERROR('2. Roles &amp; Pricing'!AL184/40,"")</f>
        <v/>
      </c>
      <c r="AK29" s="708" t="str">
        <f>IFERROR('2. Roles &amp; Pricing'!AM184/40,"")</f>
        <v/>
      </c>
      <c r="AL29" s="708" t="str">
        <f>IFERROR('2. Roles &amp; Pricing'!AN184/40,"")</f>
        <v/>
      </c>
      <c r="AM29" s="708" t="str">
        <f>IFERROR('2. Roles &amp; Pricing'!AO184/40,"")</f>
        <v/>
      </c>
      <c r="AN29" s="708" t="str">
        <f>IFERROR('2. Roles &amp; Pricing'!AP184/40,"")</f>
        <v/>
      </c>
      <c r="AO29" s="708" t="str">
        <f>IFERROR('2. Roles &amp; Pricing'!AQ184/40,"")</f>
        <v/>
      </c>
      <c r="AP29" s="708" t="str">
        <f>IFERROR('2. Roles &amp; Pricing'!AR184/40,"")</f>
        <v/>
      </c>
      <c r="AQ29" s="708" t="str">
        <f>IFERROR('2. Roles &amp; Pricing'!AS184/40,"")</f>
        <v/>
      </c>
      <c r="AR29" s="708" t="str">
        <f>IFERROR('2. Roles &amp; Pricing'!AT184/40,"")</f>
        <v/>
      </c>
      <c r="AS29" s="708" t="str">
        <f>IFERROR('2. Roles &amp; Pricing'!AU184/40,"")</f>
        <v/>
      </c>
      <c r="AT29" s="708" t="str">
        <f>IFERROR('2. Roles &amp; Pricing'!AV184/40,"")</f>
        <v/>
      </c>
      <c r="AU29" s="708" t="str">
        <f>IFERROR('2. Roles &amp; Pricing'!AW184/40,"")</f>
        <v/>
      </c>
      <c r="AV29" s="708" t="str">
        <f>IFERROR('2. Roles &amp; Pricing'!AX184/40,"")</f>
        <v/>
      </c>
      <c r="AW29" s="708" t="str">
        <f>IFERROR('2. Roles &amp; Pricing'!AY184/40,"")</f>
        <v/>
      </c>
      <c r="AX29" s="708" t="str">
        <f>IFERROR('2. Roles &amp; Pricing'!AZ184/40,"")</f>
        <v/>
      </c>
      <c r="AY29" s="708" t="str">
        <f>IFERROR('2. Roles &amp; Pricing'!BA184/40,"")</f>
        <v/>
      </c>
      <c r="AZ29" s="708" t="str">
        <f>IFERROR('2. Roles &amp; Pricing'!BB184/40,"")</f>
        <v/>
      </c>
      <c r="BA29" s="708" t="str">
        <f>IFERROR('2. Roles &amp; Pricing'!BC184/40,"")</f>
        <v/>
      </c>
      <c r="BB29" s="708" t="str">
        <f>IFERROR('2. Roles &amp; Pricing'!BD184/40,"")</f>
        <v/>
      </c>
      <c r="BC29" s="708" t="str">
        <f>IFERROR('2. Roles &amp; Pricing'!BE184/40,"")</f>
        <v/>
      </c>
      <c r="BD29" s="708" t="str">
        <f>IFERROR('2. Roles &amp; Pricing'!BF184/40,"")</f>
        <v/>
      </c>
      <c r="BE29" s="708" t="str">
        <f>IFERROR('2. Roles &amp; Pricing'!BG184/40,"")</f>
        <v/>
      </c>
      <c r="BF29" s="708" t="str">
        <f>IFERROR('2. Roles &amp; Pricing'!BH184/40,"")</f>
        <v/>
      </c>
      <c r="BG29" s="708" t="str">
        <f>IFERROR('2. Roles &amp; Pricing'!BI184/40,"")</f>
        <v/>
      </c>
      <c r="BH29" s="708" t="str">
        <f>IFERROR('2. Roles &amp; Pricing'!BJ184/40,"")</f>
        <v/>
      </c>
      <c r="BI29" s="708" t="str">
        <f>IFERROR('2. Roles &amp; Pricing'!BK184/40,"")</f>
        <v/>
      </c>
      <c r="BJ29" s="708" t="str">
        <f>IFERROR('2. Roles &amp; Pricing'!BL184/40,"")</f>
        <v/>
      </c>
      <c r="BK29" s="708" t="str">
        <f>IFERROR('2. Roles &amp; Pricing'!BM184/40,"")</f>
        <v/>
      </c>
      <c r="BL29" s="708" t="str">
        <f>IFERROR('2. Roles &amp; Pricing'!BN184/40,"")</f>
        <v/>
      </c>
      <c r="BM29" s="708" t="str">
        <f>IFERROR('2. Roles &amp; Pricing'!BO184/40,"")</f>
        <v/>
      </c>
      <c r="BN29" s="212">
        <f t="shared" si="49"/>
        <v>0</v>
      </c>
      <c r="BO29" s="213">
        <f t="shared" si="50"/>
        <v>0</v>
      </c>
      <c r="BP29" s="199" t="str">
        <f>'2. Roles &amp; Pricing'!D305</f>
        <v/>
      </c>
      <c r="BQ29" s="199">
        <f>'2. Roles &amp; Pricing'!F305</f>
        <v>0</v>
      </c>
      <c r="BR29" s="623">
        <f>'2. Roles &amp; Pricing'!F305</f>
        <v>0</v>
      </c>
      <c r="BS29" s="200">
        <f>'2. Roles &amp; Pricing'!I305</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16">
        <v>16</v>
      </c>
      <c r="B30" s="217">
        <v>3</v>
      </c>
      <c r="C30" s="218" t="str">
        <f t="shared" si="46"/>
        <v>0__</v>
      </c>
      <c r="D30" s="218" t="str">
        <f t="shared" si="47"/>
        <v>0____0</v>
      </c>
      <c r="E30" s="218">
        <v>20</v>
      </c>
      <c r="F30" s="218">
        <v>10</v>
      </c>
      <c r="G30" s="219">
        <f>'2. Roles &amp; Pricing'!D63</f>
        <v>0</v>
      </c>
      <c r="H30" s="220" t="str">
        <f>'2. Roles &amp; Pricing'!E63</f>
        <v/>
      </c>
      <c r="I30" s="221">
        <f>'2. Roles &amp; Pricing'!F63</f>
        <v>0</v>
      </c>
      <c r="J30" s="221">
        <f>'2. Roles &amp; Pricing'!K63</f>
        <v>0</v>
      </c>
      <c r="K30" s="197" t="str">
        <f>'2. Roles &amp; Pricing'!W63</f>
        <v xml:space="preserve"> </v>
      </c>
      <c r="L30" s="220"/>
      <c r="M30" s="221"/>
      <c r="N30" s="707" t="str">
        <f>IFERROR('2. Roles &amp; Pricing'!F185/40,"")</f>
        <v/>
      </c>
      <c r="O30" s="707" t="str">
        <f>IFERROR('2. Roles &amp; Pricing'!I185/40,"")</f>
        <v/>
      </c>
      <c r="P30" s="707" t="str">
        <f>IFERROR('2. Roles &amp; Pricing'!K185/40,"")</f>
        <v/>
      </c>
      <c r="Q30" s="707" t="str">
        <f>IFERROR('2. Roles &amp; Pricing'!L185/40,"")</f>
        <v/>
      </c>
      <c r="R30" s="707" t="str">
        <f>IFERROR('2. Roles &amp; Pricing'!M185/40,"")</f>
        <v/>
      </c>
      <c r="S30" s="707" t="str">
        <f>IFERROR('2. Roles &amp; Pricing'!N185/40,"")</f>
        <v/>
      </c>
      <c r="T30" s="707" t="str">
        <f>IFERROR('2. Roles &amp; Pricing'!O185/40,"")</f>
        <v/>
      </c>
      <c r="U30" s="709" t="str">
        <f>IFERROR('2. Roles &amp; Pricing'!P185/40,"")</f>
        <v/>
      </c>
      <c r="V30" s="709" t="str">
        <f>IFERROR('2. Roles &amp; Pricing'!Q185/40,"")</f>
        <v/>
      </c>
      <c r="W30" s="709" t="str">
        <f>IFERROR('2. Roles &amp; Pricing'!R185/40,"")</f>
        <v/>
      </c>
      <c r="X30" s="708" t="str">
        <f>IFERROR('2. Roles &amp; Pricing'!S185/40,"")</f>
        <v/>
      </c>
      <c r="Y30" s="708" t="str">
        <f>IFERROR('2. Roles &amp; Pricing'!T185/40,"")</f>
        <v/>
      </c>
      <c r="Z30" s="708" t="str">
        <f>IFERROR('2. Roles &amp; Pricing'!U185/40,"")</f>
        <v/>
      </c>
      <c r="AA30" s="708" t="str">
        <f>IFERROR('2. Roles &amp; Pricing'!Y185/40,"")</f>
        <v/>
      </c>
      <c r="AB30" s="708" t="str">
        <f>IFERROR('2. Roles &amp; Pricing'!Z185/40,"")</f>
        <v/>
      </c>
      <c r="AC30" s="708" t="str">
        <f>IFERROR('2. Roles &amp; Pricing'!AA185/40,"")</f>
        <v/>
      </c>
      <c r="AD30" s="708" t="str">
        <f>IFERROR('2. Roles &amp; Pricing'!AB185/40,"")</f>
        <v/>
      </c>
      <c r="AE30" s="708" t="str">
        <f>IFERROR('2. Roles &amp; Pricing'!AG185/40,"")</f>
        <v/>
      </c>
      <c r="AF30" s="708" t="str">
        <f>IFERROR('2. Roles &amp; Pricing'!AH185/40,"")</f>
        <v/>
      </c>
      <c r="AG30" s="708" t="str">
        <f>IFERROR('2. Roles &amp; Pricing'!AI185/40,"")</f>
        <v/>
      </c>
      <c r="AH30" s="708" t="str">
        <f>IFERROR('2. Roles &amp; Pricing'!AJ185/40,"")</f>
        <v/>
      </c>
      <c r="AI30" s="708" t="str">
        <f>IFERROR('2. Roles &amp; Pricing'!AK185/40,"")</f>
        <v/>
      </c>
      <c r="AJ30" s="708" t="str">
        <f>IFERROR('2. Roles &amp; Pricing'!AL185/40,"")</f>
        <v/>
      </c>
      <c r="AK30" s="708" t="str">
        <f>IFERROR('2. Roles &amp; Pricing'!AM185/40,"")</f>
        <v/>
      </c>
      <c r="AL30" s="708" t="str">
        <f>IFERROR('2. Roles &amp; Pricing'!AN185/40,"")</f>
        <v/>
      </c>
      <c r="AM30" s="708" t="str">
        <f>IFERROR('2. Roles &amp; Pricing'!AO185/40,"")</f>
        <v/>
      </c>
      <c r="AN30" s="708" t="str">
        <f>IFERROR('2. Roles &amp; Pricing'!AP185/40,"")</f>
        <v/>
      </c>
      <c r="AO30" s="708" t="str">
        <f>IFERROR('2. Roles &amp; Pricing'!AQ185/40,"")</f>
        <v/>
      </c>
      <c r="AP30" s="708" t="str">
        <f>IFERROR('2. Roles &amp; Pricing'!AR185/40,"")</f>
        <v/>
      </c>
      <c r="AQ30" s="708" t="str">
        <f>IFERROR('2. Roles &amp; Pricing'!AS185/40,"")</f>
        <v/>
      </c>
      <c r="AR30" s="708" t="str">
        <f>IFERROR('2. Roles &amp; Pricing'!AT185/40,"")</f>
        <v/>
      </c>
      <c r="AS30" s="708" t="str">
        <f>IFERROR('2. Roles &amp; Pricing'!AU185/40,"")</f>
        <v/>
      </c>
      <c r="AT30" s="708" t="str">
        <f>IFERROR('2. Roles &amp; Pricing'!AV185/40,"")</f>
        <v/>
      </c>
      <c r="AU30" s="708" t="str">
        <f>IFERROR('2. Roles &amp; Pricing'!AW185/40,"")</f>
        <v/>
      </c>
      <c r="AV30" s="708" t="str">
        <f>IFERROR('2. Roles &amp; Pricing'!AX185/40,"")</f>
        <v/>
      </c>
      <c r="AW30" s="708" t="str">
        <f>IFERROR('2. Roles &amp; Pricing'!AY185/40,"")</f>
        <v/>
      </c>
      <c r="AX30" s="708" t="str">
        <f>IFERROR('2. Roles &amp; Pricing'!AZ185/40,"")</f>
        <v/>
      </c>
      <c r="AY30" s="708" t="str">
        <f>IFERROR('2. Roles &amp; Pricing'!BA185/40,"")</f>
        <v/>
      </c>
      <c r="AZ30" s="708" t="str">
        <f>IFERROR('2. Roles &amp; Pricing'!BB185/40,"")</f>
        <v/>
      </c>
      <c r="BA30" s="708" t="str">
        <f>IFERROR('2. Roles &amp; Pricing'!BC185/40,"")</f>
        <v/>
      </c>
      <c r="BB30" s="708" t="str">
        <f>IFERROR('2. Roles &amp; Pricing'!BD185/40,"")</f>
        <v/>
      </c>
      <c r="BC30" s="708" t="str">
        <f>IFERROR('2. Roles &amp; Pricing'!BE185/40,"")</f>
        <v/>
      </c>
      <c r="BD30" s="708" t="str">
        <f>IFERROR('2. Roles &amp; Pricing'!BF185/40,"")</f>
        <v/>
      </c>
      <c r="BE30" s="708" t="str">
        <f>IFERROR('2. Roles &amp; Pricing'!BG185/40,"")</f>
        <v/>
      </c>
      <c r="BF30" s="708" t="str">
        <f>IFERROR('2. Roles &amp; Pricing'!BH185/40,"")</f>
        <v/>
      </c>
      <c r="BG30" s="708" t="str">
        <f>IFERROR('2. Roles &amp; Pricing'!BI185/40,"")</f>
        <v/>
      </c>
      <c r="BH30" s="708" t="str">
        <f>IFERROR('2. Roles &amp; Pricing'!BJ185/40,"")</f>
        <v/>
      </c>
      <c r="BI30" s="708" t="str">
        <f>IFERROR('2. Roles &amp; Pricing'!BK185/40,"")</f>
        <v/>
      </c>
      <c r="BJ30" s="708" t="str">
        <f>IFERROR('2. Roles &amp; Pricing'!BL185/40,"")</f>
        <v/>
      </c>
      <c r="BK30" s="708" t="str">
        <f>IFERROR('2. Roles &amp; Pricing'!BM185/40,"")</f>
        <v/>
      </c>
      <c r="BL30" s="708" t="str">
        <f>IFERROR('2. Roles &amp; Pricing'!BN185/40,"")</f>
        <v/>
      </c>
      <c r="BM30" s="708" t="str">
        <f>IFERROR('2. Roles &amp; Pricing'!BO185/40,"")</f>
        <v/>
      </c>
      <c r="BN30" s="223">
        <f t="shared" si="49"/>
        <v>0</v>
      </c>
      <c r="BO30" s="224">
        <f t="shared" si="50"/>
        <v>0</v>
      </c>
      <c r="BP30" s="199" t="str">
        <f>'2. Roles &amp; Pricing'!D306</f>
        <v/>
      </c>
      <c r="BQ30" s="199">
        <f>'2. Roles &amp; Pricing'!F306</f>
        <v>0</v>
      </c>
      <c r="BR30" s="623">
        <f>'2. Roles &amp; Pricing'!F306</f>
        <v>0</v>
      </c>
      <c r="BS30" s="200">
        <f>'2. Roles &amp; Pricing'!I306</f>
        <v>0</v>
      </c>
      <c r="BT30" s="201" t="str">
        <f t="shared" si="51"/>
        <v/>
      </c>
      <c r="BU30" s="225">
        <f t="shared" si="48"/>
        <v>0</v>
      </c>
      <c r="BV30" s="226"/>
      <c r="BW30" s="222"/>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20.75" customHeight="1" thickBot="1" x14ac:dyDescent="0.4">
      <c r="A31" s="227">
        <v>17</v>
      </c>
      <c r="B31" s="228">
        <v>3</v>
      </c>
      <c r="C31" s="229" t="str">
        <f t="shared" si="46"/>
        <v>0__</v>
      </c>
      <c r="D31" s="229" t="str">
        <f t="shared" si="47"/>
        <v>0____0</v>
      </c>
      <c r="E31" s="229">
        <v>21</v>
      </c>
      <c r="F31" s="229">
        <v>8</v>
      </c>
      <c r="G31" s="230">
        <f>'2. Roles &amp; Pricing'!D64</f>
        <v>0</v>
      </c>
      <c r="H31" s="231" t="str">
        <f>'2. Roles &amp; Pricing'!E64</f>
        <v/>
      </c>
      <c r="I31" s="232">
        <f>'2. Roles &amp; Pricing'!F64</f>
        <v>0</v>
      </c>
      <c r="J31" s="232">
        <f>'2. Roles &amp; Pricing'!K64</f>
        <v>0</v>
      </c>
      <c r="K31" s="233" t="s">
        <v>120</v>
      </c>
      <c r="L31" s="231"/>
      <c r="M31" s="232"/>
      <c r="N31" s="707" t="str">
        <f>IFERROR('2. Roles &amp; Pricing'!F186/40,"")</f>
        <v/>
      </c>
      <c r="O31" s="707" t="str">
        <f>IFERROR('2. Roles &amp; Pricing'!I186/40,"")</f>
        <v/>
      </c>
      <c r="P31" s="707" t="str">
        <f>IFERROR('2. Roles &amp; Pricing'!K186/40,"")</f>
        <v/>
      </c>
      <c r="Q31" s="707" t="str">
        <f>IFERROR('2. Roles &amp; Pricing'!L186/40,"")</f>
        <v/>
      </c>
      <c r="R31" s="707" t="str">
        <f>IFERROR('2. Roles &amp; Pricing'!M186/40,"")</f>
        <v/>
      </c>
      <c r="S31" s="707" t="str">
        <f>IFERROR('2. Roles &amp; Pricing'!N186/40,"")</f>
        <v/>
      </c>
      <c r="T31" s="707" t="str">
        <f>IFERROR('2. Roles &amp; Pricing'!O186/40,"")</f>
        <v/>
      </c>
      <c r="U31" s="709" t="str">
        <f>IFERROR('2. Roles &amp; Pricing'!P186/40,"")</f>
        <v/>
      </c>
      <c r="V31" s="709" t="str">
        <f>IFERROR('2. Roles &amp; Pricing'!Q186/40,"")</f>
        <v/>
      </c>
      <c r="W31" s="709" t="str">
        <f>IFERROR('2. Roles &amp; Pricing'!R186/40,"")</f>
        <v/>
      </c>
      <c r="X31" s="708" t="str">
        <f>IFERROR('2. Roles &amp; Pricing'!S186/40,"")</f>
        <v/>
      </c>
      <c r="Y31" s="708" t="str">
        <f>IFERROR('2. Roles &amp; Pricing'!T186/40,"")</f>
        <v/>
      </c>
      <c r="Z31" s="708" t="str">
        <f>IFERROR('2. Roles &amp; Pricing'!U186/40,"")</f>
        <v/>
      </c>
      <c r="AA31" s="708" t="str">
        <f>IFERROR('2. Roles &amp; Pricing'!Y186/40,"")</f>
        <v/>
      </c>
      <c r="AB31" s="708" t="str">
        <f>IFERROR('2. Roles &amp; Pricing'!Z186/40,"")</f>
        <v/>
      </c>
      <c r="AC31" s="708" t="str">
        <f>IFERROR('2. Roles &amp; Pricing'!AA186/40,"")</f>
        <v/>
      </c>
      <c r="AD31" s="708" t="str">
        <f>IFERROR('2. Roles &amp; Pricing'!AB186/40,"")</f>
        <v/>
      </c>
      <c r="AE31" s="708" t="str">
        <f>IFERROR('2. Roles &amp; Pricing'!AG186/40,"")</f>
        <v/>
      </c>
      <c r="AF31" s="708" t="str">
        <f>IFERROR('2. Roles &amp; Pricing'!AH186/40,"")</f>
        <v/>
      </c>
      <c r="AG31" s="708" t="str">
        <f>IFERROR('2. Roles &amp; Pricing'!AI186/40,"")</f>
        <v/>
      </c>
      <c r="AH31" s="708" t="str">
        <f>IFERROR('2. Roles &amp; Pricing'!AJ186/40,"")</f>
        <v/>
      </c>
      <c r="AI31" s="708" t="str">
        <f>IFERROR('2. Roles &amp; Pricing'!AK186/40,"")</f>
        <v/>
      </c>
      <c r="AJ31" s="708" t="str">
        <f>IFERROR('2. Roles &amp; Pricing'!AL186/40,"")</f>
        <v/>
      </c>
      <c r="AK31" s="708" t="str">
        <f>IFERROR('2. Roles &amp; Pricing'!AM186/40,"")</f>
        <v/>
      </c>
      <c r="AL31" s="708" t="str">
        <f>IFERROR('2. Roles &amp; Pricing'!AN186/40,"")</f>
        <v/>
      </c>
      <c r="AM31" s="708" t="str">
        <f>IFERROR('2. Roles &amp; Pricing'!AO186/40,"")</f>
        <v/>
      </c>
      <c r="AN31" s="708" t="str">
        <f>IFERROR('2. Roles &amp; Pricing'!AP186/40,"")</f>
        <v/>
      </c>
      <c r="AO31" s="708" t="str">
        <f>IFERROR('2. Roles &amp; Pricing'!AQ186/40,"")</f>
        <v/>
      </c>
      <c r="AP31" s="708" t="str">
        <f>IFERROR('2. Roles &amp; Pricing'!AR186/40,"")</f>
        <v/>
      </c>
      <c r="AQ31" s="708" t="str">
        <f>IFERROR('2. Roles &amp; Pricing'!AS186/40,"")</f>
        <v/>
      </c>
      <c r="AR31" s="708" t="str">
        <f>IFERROR('2. Roles &amp; Pricing'!AT186/40,"")</f>
        <v/>
      </c>
      <c r="AS31" s="708" t="str">
        <f>IFERROR('2. Roles &amp; Pricing'!AU186/40,"")</f>
        <v/>
      </c>
      <c r="AT31" s="708" t="str">
        <f>IFERROR('2. Roles &amp; Pricing'!AV186/40,"")</f>
        <v/>
      </c>
      <c r="AU31" s="708" t="str">
        <f>IFERROR('2. Roles &amp; Pricing'!AW186/40,"")</f>
        <v/>
      </c>
      <c r="AV31" s="708" t="str">
        <f>IFERROR('2. Roles &amp; Pricing'!AX186/40,"")</f>
        <v/>
      </c>
      <c r="AW31" s="708" t="str">
        <f>IFERROR('2. Roles &amp; Pricing'!AY186/40,"")</f>
        <v/>
      </c>
      <c r="AX31" s="708" t="str">
        <f>IFERROR('2. Roles &amp; Pricing'!AZ186/40,"")</f>
        <v/>
      </c>
      <c r="AY31" s="708" t="str">
        <f>IFERROR('2. Roles &amp; Pricing'!BA186/40,"")</f>
        <v/>
      </c>
      <c r="AZ31" s="708" t="str">
        <f>IFERROR('2. Roles &amp; Pricing'!BB186/40,"")</f>
        <v/>
      </c>
      <c r="BA31" s="708" t="str">
        <f>IFERROR('2. Roles &amp; Pricing'!BC186/40,"")</f>
        <v/>
      </c>
      <c r="BB31" s="708" t="str">
        <f>IFERROR('2. Roles &amp; Pricing'!BD186/40,"")</f>
        <v/>
      </c>
      <c r="BC31" s="708" t="str">
        <f>IFERROR('2. Roles &amp; Pricing'!BE186/40,"")</f>
        <v/>
      </c>
      <c r="BD31" s="708" t="str">
        <f>IFERROR('2. Roles &amp; Pricing'!BF186/40,"")</f>
        <v/>
      </c>
      <c r="BE31" s="708" t="str">
        <f>IFERROR('2. Roles &amp; Pricing'!BG186/40,"")</f>
        <v/>
      </c>
      <c r="BF31" s="708" t="str">
        <f>IFERROR('2. Roles &amp; Pricing'!BH186/40,"")</f>
        <v/>
      </c>
      <c r="BG31" s="708" t="str">
        <f>IFERROR('2. Roles &amp; Pricing'!BI186/40,"")</f>
        <v/>
      </c>
      <c r="BH31" s="708" t="str">
        <f>IFERROR('2. Roles &amp; Pricing'!BJ186/40,"")</f>
        <v/>
      </c>
      <c r="BI31" s="708" t="str">
        <f>IFERROR('2. Roles &amp; Pricing'!BK186/40,"")</f>
        <v/>
      </c>
      <c r="BJ31" s="708" t="str">
        <f>IFERROR('2. Roles &amp; Pricing'!BL186/40,"")</f>
        <v/>
      </c>
      <c r="BK31" s="708" t="str">
        <f>IFERROR('2. Roles &amp; Pricing'!BM186/40,"")</f>
        <v/>
      </c>
      <c r="BL31" s="708" t="str">
        <f>IFERROR('2. Roles &amp; Pricing'!BN186/40,"")</f>
        <v/>
      </c>
      <c r="BM31" s="708" t="str">
        <f>IFERROR('2. Roles &amp; Pricing'!BO186/40,"")</f>
        <v/>
      </c>
      <c r="BN31" s="234">
        <f t="shared" si="49"/>
        <v>0</v>
      </c>
      <c r="BO31" s="235">
        <f t="shared" si="50"/>
        <v>0</v>
      </c>
      <c r="BP31" s="199" t="str">
        <f>'2. Roles &amp; Pricing'!D307</f>
        <v/>
      </c>
      <c r="BQ31" s="199">
        <f>'2. Roles &amp; Pricing'!F307</f>
        <v>0</v>
      </c>
      <c r="BR31" s="623">
        <f>'2. Roles &amp; Pricing'!F307</f>
        <v>0</v>
      </c>
      <c r="BS31" s="200">
        <f>'2. Roles &amp; Pricing'!I307</f>
        <v>0</v>
      </c>
      <c r="BT31" s="201" t="str">
        <f t="shared" si="51"/>
        <v/>
      </c>
      <c r="BU31" s="236">
        <f t="shared" si="48"/>
        <v>0</v>
      </c>
      <c r="BV31" s="237"/>
      <c r="BW31" s="1973" t="s">
        <v>2020</v>
      </c>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14.5" thickBot="1" x14ac:dyDescent="0.4">
      <c r="A32" s="238">
        <v>18</v>
      </c>
      <c r="B32" s="239">
        <v>3</v>
      </c>
      <c r="C32" s="240" t="str">
        <f t="shared" si="46"/>
        <v>0__</v>
      </c>
      <c r="D32" s="240" t="str">
        <f t="shared" si="47"/>
        <v>0____0</v>
      </c>
      <c r="E32" s="240">
        <v>20</v>
      </c>
      <c r="F32" s="240">
        <v>10</v>
      </c>
      <c r="G32" s="241">
        <f>'2. Roles &amp; Pricing'!D65</f>
        <v>0</v>
      </c>
      <c r="H32" s="242" t="str">
        <f>'2. Roles &amp; Pricing'!E65</f>
        <v/>
      </c>
      <c r="I32" s="243">
        <f>'2. Roles &amp; Pricing'!F65</f>
        <v>0</v>
      </c>
      <c r="J32" s="243">
        <f>'2. Roles &amp; Pricing'!K65</f>
        <v>0</v>
      </c>
      <c r="K32" s="244" t="s">
        <v>119</v>
      </c>
      <c r="L32" s="242"/>
      <c r="M32" s="243"/>
      <c r="N32" s="707" t="str">
        <f>IFERROR('2. Roles &amp; Pricing'!F187/40,"")</f>
        <v/>
      </c>
      <c r="O32" s="707" t="str">
        <f>IFERROR('2. Roles &amp; Pricing'!I187/40,"")</f>
        <v/>
      </c>
      <c r="P32" s="707" t="str">
        <f>IFERROR('2. Roles &amp; Pricing'!K187/40,"")</f>
        <v/>
      </c>
      <c r="Q32" s="707" t="str">
        <f>IFERROR('2. Roles &amp; Pricing'!L187/40,"")</f>
        <v/>
      </c>
      <c r="R32" s="707" t="str">
        <f>IFERROR('2. Roles &amp; Pricing'!M187/40,"")</f>
        <v/>
      </c>
      <c r="S32" s="707" t="str">
        <f>IFERROR('2. Roles &amp; Pricing'!N187/40,"")</f>
        <v/>
      </c>
      <c r="T32" s="707" t="str">
        <f>IFERROR('2. Roles &amp; Pricing'!O187/40,"")</f>
        <v/>
      </c>
      <c r="U32" s="709" t="str">
        <f>IFERROR('2. Roles &amp; Pricing'!P187/40,"")</f>
        <v/>
      </c>
      <c r="V32" s="709" t="str">
        <f>IFERROR('2. Roles &amp; Pricing'!Q187/40,"")</f>
        <v/>
      </c>
      <c r="W32" s="709" t="str">
        <f>IFERROR('2. Roles &amp; Pricing'!R187/40,"")</f>
        <v/>
      </c>
      <c r="X32" s="708" t="str">
        <f>IFERROR('2. Roles &amp; Pricing'!S187/40,"")</f>
        <v/>
      </c>
      <c r="Y32" s="708" t="str">
        <f>IFERROR('2. Roles &amp; Pricing'!T187/40,"")</f>
        <v/>
      </c>
      <c r="Z32" s="708" t="str">
        <f>IFERROR('2. Roles &amp; Pricing'!U187/40,"")</f>
        <v/>
      </c>
      <c r="AA32" s="708" t="str">
        <f>IFERROR('2. Roles &amp; Pricing'!Y187/40,"")</f>
        <v/>
      </c>
      <c r="AB32" s="708" t="str">
        <f>IFERROR('2. Roles &amp; Pricing'!Z187/40,"")</f>
        <v/>
      </c>
      <c r="AC32" s="708" t="str">
        <f>IFERROR('2. Roles &amp; Pricing'!AA187/40,"")</f>
        <v/>
      </c>
      <c r="AD32" s="708" t="str">
        <f>IFERROR('2. Roles &amp; Pricing'!AB187/40,"")</f>
        <v/>
      </c>
      <c r="AE32" s="708" t="str">
        <f>IFERROR('2. Roles &amp; Pricing'!AG187/40,"")</f>
        <v/>
      </c>
      <c r="AF32" s="708" t="str">
        <f>IFERROR('2. Roles &amp; Pricing'!AH187/40,"")</f>
        <v/>
      </c>
      <c r="AG32" s="708" t="str">
        <f>IFERROR('2. Roles &amp; Pricing'!AI187/40,"")</f>
        <v/>
      </c>
      <c r="AH32" s="708" t="str">
        <f>IFERROR('2. Roles &amp; Pricing'!AJ187/40,"")</f>
        <v/>
      </c>
      <c r="AI32" s="708" t="str">
        <f>IFERROR('2. Roles &amp; Pricing'!AK187/40,"")</f>
        <v/>
      </c>
      <c r="AJ32" s="708" t="str">
        <f>IFERROR('2. Roles &amp; Pricing'!AL187/40,"")</f>
        <v/>
      </c>
      <c r="AK32" s="708" t="str">
        <f>IFERROR('2. Roles &amp; Pricing'!AM187/40,"")</f>
        <v/>
      </c>
      <c r="AL32" s="708" t="str">
        <f>IFERROR('2. Roles &amp; Pricing'!AN187/40,"")</f>
        <v/>
      </c>
      <c r="AM32" s="708" t="str">
        <f>IFERROR('2. Roles &amp; Pricing'!AO187/40,"")</f>
        <v/>
      </c>
      <c r="AN32" s="708" t="str">
        <f>IFERROR('2. Roles &amp; Pricing'!AP187/40,"")</f>
        <v/>
      </c>
      <c r="AO32" s="708" t="str">
        <f>IFERROR('2. Roles &amp; Pricing'!AQ187/40,"")</f>
        <v/>
      </c>
      <c r="AP32" s="708" t="str">
        <f>IFERROR('2. Roles &amp; Pricing'!AR187/40,"")</f>
        <v/>
      </c>
      <c r="AQ32" s="708" t="str">
        <f>IFERROR('2. Roles &amp; Pricing'!AS187/40,"")</f>
        <v/>
      </c>
      <c r="AR32" s="708" t="str">
        <f>IFERROR('2. Roles &amp; Pricing'!AT187/40,"")</f>
        <v/>
      </c>
      <c r="AS32" s="708" t="str">
        <f>IFERROR('2. Roles &amp; Pricing'!AU187/40,"")</f>
        <v/>
      </c>
      <c r="AT32" s="708" t="str">
        <f>IFERROR('2. Roles &amp; Pricing'!AV187/40,"")</f>
        <v/>
      </c>
      <c r="AU32" s="708" t="str">
        <f>IFERROR('2. Roles &amp; Pricing'!AW187/40,"")</f>
        <v/>
      </c>
      <c r="AV32" s="708" t="str">
        <f>IFERROR('2. Roles &amp; Pricing'!AX187/40,"")</f>
        <v/>
      </c>
      <c r="AW32" s="708" t="str">
        <f>IFERROR('2. Roles &amp; Pricing'!AY187/40,"")</f>
        <v/>
      </c>
      <c r="AX32" s="708" t="str">
        <f>IFERROR('2. Roles &amp; Pricing'!AZ187/40,"")</f>
        <v/>
      </c>
      <c r="AY32" s="708" t="str">
        <f>IFERROR('2. Roles &amp; Pricing'!BA187/40,"")</f>
        <v/>
      </c>
      <c r="AZ32" s="708" t="str">
        <f>IFERROR('2. Roles &amp; Pricing'!BB187/40,"")</f>
        <v/>
      </c>
      <c r="BA32" s="708" t="str">
        <f>IFERROR('2. Roles &amp; Pricing'!BC187/40,"")</f>
        <v/>
      </c>
      <c r="BB32" s="708" t="str">
        <f>IFERROR('2. Roles &amp; Pricing'!BD187/40,"")</f>
        <v/>
      </c>
      <c r="BC32" s="708" t="str">
        <f>IFERROR('2. Roles &amp; Pricing'!BE187/40,"")</f>
        <v/>
      </c>
      <c r="BD32" s="708" t="str">
        <f>IFERROR('2. Roles &amp; Pricing'!BF187/40,"")</f>
        <v/>
      </c>
      <c r="BE32" s="708" t="str">
        <f>IFERROR('2. Roles &amp; Pricing'!BG187/40,"")</f>
        <v/>
      </c>
      <c r="BF32" s="708" t="str">
        <f>IFERROR('2. Roles &amp; Pricing'!BH187/40,"")</f>
        <v/>
      </c>
      <c r="BG32" s="708" t="str">
        <f>IFERROR('2. Roles &amp; Pricing'!BI187/40,"")</f>
        <v/>
      </c>
      <c r="BH32" s="708" t="str">
        <f>IFERROR('2. Roles &amp; Pricing'!BJ187/40,"")</f>
        <v/>
      </c>
      <c r="BI32" s="708" t="str">
        <f>IFERROR('2. Roles &amp; Pricing'!BK187/40,"")</f>
        <v/>
      </c>
      <c r="BJ32" s="708" t="str">
        <f>IFERROR('2. Roles &amp; Pricing'!BL187/40,"")</f>
        <v/>
      </c>
      <c r="BK32" s="708" t="str">
        <f>IFERROR('2. Roles &amp; Pricing'!BM187/40,"")</f>
        <v/>
      </c>
      <c r="BL32" s="708" t="str">
        <f>IFERROR('2. Roles &amp; Pricing'!BN187/40,"")</f>
        <v/>
      </c>
      <c r="BM32" s="708" t="str">
        <f>IFERROR('2. Roles &amp; Pricing'!BO187/40,"")</f>
        <v/>
      </c>
      <c r="BN32" s="223">
        <f t="shared" si="49"/>
        <v>0</v>
      </c>
      <c r="BO32" s="224">
        <f t="shared" si="50"/>
        <v>0</v>
      </c>
      <c r="BP32" s="199" t="str">
        <f>'2. Roles &amp; Pricing'!D308</f>
        <v/>
      </c>
      <c r="BQ32" s="199">
        <f>'2. Roles &amp; Pricing'!F308</f>
        <v>0</v>
      </c>
      <c r="BR32" s="623">
        <f>'2. Roles &amp; Pricing'!F308</f>
        <v>0</v>
      </c>
      <c r="BS32" s="200">
        <f>'2. Roles &amp; Pricing'!I308</f>
        <v>0</v>
      </c>
      <c r="BT32" s="201" t="str">
        <f t="shared" si="51"/>
        <v/>
      </c>
      <c r="BU32" s="225">
        <f t="shared" si="48"/>
        <v>0</v>
      </c>
      <c r="BV32" s="245"/>
      <c r="BW32" s="1974"/>
      <c r="BX32" s="144"/>
      <c r="BY32" s="144"/>
      <c r="BZ32" s="144"/>
      <c r="CA32" s="144"/>
      <c r="CB32" s="144"/>
      <c r="CC32" s="144"/>
      <c r="CD32" s="144"/>
      <c r="CE32" s="144"/>
      <c r="CF32" s="144"/>
      <c r="CG32" s="144"/>
      <c r="CH32" s="144"/>
      <c r="CI32" s="144"/>
      <c r="CJ32" s="144"/>
      <c r="CK32" s="144"/>
      <c r="CL32" s="144"/>
      <c r="CM32" s="144"/>
      <c r="CN32" s="144"/>
      <c r="CO32" s="144"/>
      <c r="CP32" s="144"/>
    </row>
    <row r="33" spans="1:75" s="204" customFormat="1" ht="14.5" thickBot="1" x14ac:dyDescent="0.4">
      <c r="A33" s="1983"/>
      <c r="B33" s="1984"/>
      <c r="C33" s="1984"/>
      <c r="D33" s="1984"/>
      <c r="E33" s="1984"/>
      <c r="F33" s="1984"/>
      <c r="G33" s="1984"/>
      <c r="H33" s="1984"/>
      <c r="I33" s="1985"/>
      <c r="J33" s="246"/>
      <c r="K33" s="247"/>
      <c r="L33" s="248"/>
      <c r="M33" s="248"/>
      <c r="N33" s="707" t="str">
        <f>IFERROR('2. Roles &amp; Pricing'!F188/40,"")</f>
        <v/>
      </c>
      <c r="O33" s="707" t="str">
        <f>IFERROR('2. Roles &amp; Pricing'!I188/40,"")</f>
        <v/>
      </c>
      <c r="P33" s="707" t="str">
        <f>IFERROR('2. Roles &amp; Pricing'!K188/40,"")</f>
        <v/>
      </c>
      <c r="Q33" s="707" t="str">
        <f>IFERROR('2. Roles &amp; Pricing'!L188/40,"")</f>
        <v/>
      </c>
      <c r="R33" s="707" t="str">
        <f>IFERROR('2. Roles &amp; Pricing'!M188/40,"")</f>
        <v/>
      </c>
      <c r="S33" s="707" t="str">
        <f>IFERROR('2. Roles &amp; Pricing'!N188/40,"")</f>
        <v/>
      </c>
      <c r="T33" s="707" t="str">
        <f>IFERROR('2. Roles &amp; Pricing'!O188/40,"")</f>
        <v/>
      </c>
      <c r="U33" s="709" t="str">
        <f>IFERROR('2. Roles &amp; Pricing'!P188/40,"")</f>
        <v/>
      </c>
      <c r="V33" s="709" t="str">
        <f>IFERROR('2. Roles &amp; Pricing'!Q188/40,"")</f>
        <v/>
      </c>
      <c r="W33" s="709" t="str">
        <f>IFERROR('2. Roles &amp; Pricing'!R188/40,"")</f>
        <v/>
      </c>
      <c r="X33" s="708" t="str">
        <f>IFERROR('2. Roles &amp; Pricing'!S188/40,"")</f>
        <v/>
      </c>
      <c r="Y33" s="708" t="str">
        <f>IFERROR('2. Roles &amp; Pricing'!T188/40,"")</f>
        <v/>
      </c>
      <c r="Z33" s="708" t="str">
        <f>IFERROR('2. Roles &amp; Pricing'!U188/40,"")</f>
        <v/>
      </c>
      <c r="AA33" s="708" t="str">
        <f>IFERROR('2. Roles &amp; Pricing'!Y188/40,"")</f>
        <v/>
      </c>
      <c r="AB33" s="708" t="str">
        <f>IFERROR('2. Roles &amp; Pricing'!Z188/40,"")</f>
        <v/>
      </c>
      <c r="AC33" s="708" t="str">
        <f>IFERROR('2. Roles &amp; Pricing'!AA188/40,"")</f>
        <v/>
      </c>
      <c r="AD33" s="708" t="str">
        <f>IFERROR('2. Roles &amp; Pricing'!AB188/40,"")</f>
        <v/>
      </c>
      <c r="AE33" s="708" t="str">
        <f>IFERROR('2. Roles &amp; Pricing'!AG188/40,"")</f>
        <v/>
      </c>
      <c r="AF33" s="708" t="str">
        <f>IFERROR('2. Roles &amp; Pricing'!AH188/40,"")</f>
        <v/>
      </c>
      <c r="AG33" s="708" t="str">
        <f>IFERROR('2. Roles &amp; Pricing'!AI188/40,"")</f>
        <v/>
      </c>
      <c r="AH33" s="708" t="str">
        <f>IFERROR('2. Roles &amp; Pricing'!AJ188/40,"")</f>
        <v/>
      </c>
      <c r="AI33" s="708" t="str">
        <f>IFERROR('2. Roles &amp; Pricing'!AK188/40,"")</f>
        <v/>
      </c>
      <c r="AJ33" s="708" t="str">
        <f>IFERROR('2. Roles &amp; Pricing'!AL188/40,"")</f>
        <v/>
      </c>
      <c r="AK33" s="708" t="str">
        <f>IFERROR('2. Roles &amp; Pricing'!AM188/40,"")</f>
        <v/>
      </c>
      <c r="AL33" s="708" t="str">
        <f>IFERROR('2. Roles &amp; Pricing'!AN188/40,"")</f>
        <v/>
      </c>
      <c r="AM33" s="708" t="str">
        <f>IFERROR('2. Roles &amp; Pricing'!AO188/40,"")</f>
        <v/>
      </c>
      <c r="AN33" s="708" t="str">
        <f>IFERROR('2. Roles &amp; Pricing'!AP188/40,"")</f>
        <v/>
      </c>
      <c r="AO33" s="708" t="str">
        <f>IFERROR('2. Roles &amp; Pricing'!AQ188/40,"")</f>
        <v/>
      </c>
      <c r="AP33" s="708" t="str">
        <f>IFERROR('2. Roles &amp; Pricing'!AR188/40,"")</f>
        <v/>
      </c>
      <c r="AQ33" s="708" t="str">
        <f>IFERROR('2. Roles &amp; Pricing'!AS188/40,"")</f>
        <v/>
      </c>
      <c r="AR33" s="708" t="str">
        <f>IFERROR('2. Roles &amp; Pricing'!AT188/40,"")</f>
        <v/>
      </c>
      <c r="AS33" s="708" t="str">
        <f>IFERROR('2. Roles &amp; Pricing'!AU188/40,"")</f>
        <v/>
      </c>
      <c r="AT33" s="708" t="str">
        <f>IFERROR('2. Roles &amp; Pricing'!AV188/40,"")</f>
        <v/>
      </c>
      <c r="AU33" s="708" t="str">
        <f>IFERROR('2. Roles &amp; Pricing'!AW188/40,"")</f>
        <v/>
      </c>
      <c r="AV33" s="708" t="str">
        <f>IFERROR('2. Roles &amp; Pricing'!AX188/40,"")</f>
        <v/>
      </c>
      <c r="AW33" s="708" t="str">
        <f>IFERROR('2. Roles &amp; Pricing'!AY188/40,"")</f>
        <v/>
      </c>
      <c r="AX33" s="708" t="str">
        <f>IFERROR('2. Roles &amp; Pricing'!AZ188/40,"")</f>
        <v/>
      </c>
      <c r="AY33" s="708" t="str">
        <f>IFERROR('2. Roles &amp; Pricing'!BA188/40,"")</f>
        <v/>
      </c>
      <c r="AZ33" s="708" t="str">
        <f>IFERROR('2. Roles &amp; Pricing'!BB188/40,"")</f>
        <v/>
      </c>
      <c r="BA33" s="708" t="str">
        <f>IFERROR('2. Roles &amp; Pricing'!BC188/40,"")</f>
        <v/>
      </c>
      <c r="BB33" s="708" t="str">
        <f>IFERROR('2. Roles &amp; Pricing'!BD188/40,"")</f>
        <v/>
      </c>
      <c r="BC33" s="708" t="str">
        <f>IFERROR('2. Roles &amp; Pricing'!BE188/40,"")</f>
        <v/>
      </c>
      <c r="BD33" s="708" t="str">
        <f>IFERROR('2. Roles &amp; Pricing'!BF188/40,"")</f>
        <v/>
      </c>
      <c r="BE33" s="708" t="str">
        <f>IFERROR('2. Roles &amp; Pricing'!BG188/40,"")</f>
        <v/>
      </c>
      <c r="BF33" s="708" t="str">
        <f>IFERROR('2. Roles &amp; Pricing'!BH188/40,"")</f>
        <v/>
      </c>
      <c r="BG33" s="708" t="str">
        <f>IFERROR('2. Roles &amp; Pricing'!BI188/40,"")</f>
        <v/>
      </c>
      <c r="BH33" s="708" t="str">
        <f>IFERROR('2. Roles &amp; Pricing'!BJ188/40,"")</f>
        <v/>
      </c>
      <c r="BI33" s="708" t="str">
        <f>IFERROR('2. Roles &amp; Pricing'!BK188/40,"")</f>
        <v/>
      </c>
      <c r="BJ33" s="708" t="str">
        <f>IFERROR('2. Roles &amp; Pricing'!BL188/40,"")</f>
        <v/>
      </c>
      <c r="BK33" s="708" t="str">
        <f>IFERROR('2. Roles &amp; Pricing'!BM188/40,"")</f>
        <v/>
      </c>
      <c r="BL33" s="708" t="str">
        <f>IFERROR('2. Roles &amp; Pricing'!BN188/40,"")</f>
        <v/>
      </c>
      <c r="BM33" s="708" t="str">
        <f>IFERROR('2. Roles &amp; Pricing'!BO188/40,"")</f>
        <v/>
      </c>
      <c r="BN33" s="249">
        <f>SUM(BN15:BN32)</f>
        <v>173.5</v>
      </c>
      <c r="BO33" s="250">
        <f>SUM(BO15:BO32)</f>
        <v>867.5</v>
      </c>
      <c r="BP33" s="251">
        <f>SUM(BP15:BP32)</f>
        <v>766000</v>
      </c>
      <c r="BQ33" s="199">
        <f>'2. Roles &amp; Pricing'!F309</f>
        <v>0</v>
      </c>
      <c r="BR33" s="252"/>
      <c r="BS33" s="253"/>
      <c r="BT33" s="254">
        <f>SUM(BT15:BT32)</f>
        <v>766000</v>
      </c>
      <c r="BU33" s="255">
        <f>SUM(BU15:BU32)</f>
        <v>6940</v>
      </c>
    </row>
    <row r="34" spans="1:75" s="204" customFormat="1" ht="14.5" thickBot="1" x14ac:dyDescent="0.4">
      <c r="A34" s="1983"/>
      <c r="B34" s="1984"/>
      <c r="C34" s="1984"/>
      <c r="D34" s="1984"/>
      <c r="E34" s="1984"/>
      <c r="F34" s="1984"/>
      <c r="G34" s="1984"/>
      <c r="H34" s="1984"/>
      <c r="I34" s="1985"/>
      <c r="J34" s="256" t="s">
        <v>178</v>
      </c>
      <c r="K34" s="257"/>
      <c r="L34" s="258"/>
      <c r="M34" s="258"/>
      <c r="N34" s="707" t="str">
        <f>IFERROR('2. Roles &amp; Pricing'!F189/40,"")</f>
        <v/>
      </c>
      <c r="O34" s="707" t="str">
        <f>IFERROR('2. Roles &amp; Pricing'!I189/40,"")</f>
        <v/>
      </c>
      <c r="P34" s="707" t="str">
        <f>IFERROR('2. Roles &amp; Pricing'!K189/40,"")</f>
        <v/>
      </c>
      <c r="Q34" s="707" t="str">
        <f>IFERROR('2. Roles &amp; Pricing'!L189/40,"")</f>
        <v/>
      </c>
      <c r="R34" s="707" t="str">
        <f>IFERROR('2. Roles &amp; Pricing'!M189/40,"")</f>
        <v/>
      </c>
      <c r="S34" s="707" t="str">
        <f>IFERROR('2. Roles &amp; Pricing'!N189/40,"")</f>
        <v/>
      </c>
      <c r="T34" s="707" t="str">
        <f>IFERROR('2. Roles &amp; Pricing'!O189/40,"")</f>
        <v/>
      </c>
      <c r="U34" s="709" t="str">
        <f>IFERROR('2. Roles &amp; Pricing'!P189/40,"")</f>
        <v/>
      </c>
      <c r="V34" s="709" t="str">
        <f>IFERROR('2. Roles &amp; Pricing'!Q189/40,"")</f>
        <v/>
      </c>
      <c r="W34" s="709" t="str">
        <f>IFERROR('2. Roles &amp; Pricing'!R189/40,"")</f>
        <v/>
      </c>
      <c r="X34" s="708" t="str">
        <f>IFERROR('2. Roles &amp; Pricing'!S189/40,"")</f>
        <v/>
      </c>
      <c r="Y34" s="708" t="str">
        <f>IFERROR('2. Roles &amp; Pricing'!T189/40,"")</f>
        <v/>
      </c>
      <c r="Z34" s="708" t="str">
        <f>IFERROR('2. Roles &amp; Pricing'!U189/40,"")</f>
        <v/>
      </c>
      <c r="AA34" s="708" t="str">
        <f>IFERROR('2. Roles &amp; Pricing'!Y189/40,"")</f>
        <v/>
      </c>
      <c r="AB34" s="708" t="str">
        <f>IFERROR('2. Roles &amp; Pricing'!Z189/40,"")</f>
        <v/>
      </c>
      <c r="AC34" s="708" t="str">
        <f>IFERROR('2. Roles &amp; Pricing'!AA189/40,"")</f>
        <v/>
      </c>
      <c r="AD34" s="708" t="str">
        <f>IFERROR('2. Roles &amp; Pricing'!AB189/40,"")</f>
        <v/>
      </c>
      <c r="AE34" s="708" t="str">
        <f>IFERROR('2. Roles &amp; Pricing'!AG189/40,"")</f>
        <v/>
      </c>
      <c r="AF34" s="708" t="str">
        <f>IFERROR('2. Roles &amp; Pricing'!AH189/40,"")</f>
        <v/>
      </c>
      <c r="AG34" s="708" t="str">
        <f>IFERROR('2. Roles &amp; Pricing'!AI189/40,"")</f>
        <v/>
      </c>
      <c r="AH34" s="708" t="str">
        <f>IFERROR('2. Roles &amp; Pricing'!AJ189/40,"")</f>
        <v/>
      </c>
      <c r="AI34" s="708" t="str">
        <f>IFERROR('2. Roles &amp; Pricing'!AK189/40,"")</f>
        <v/>
      </c>
      <c r="AJ34" s="708" t="str">
        <f>IFERROR('2. Roles &amp; Pricing'!AL189/40,"")</f>
        <v/>
      </c>
      <c r="AK34" s="708" t="str">
        <f>IFERROR('2. Roles &amp; Pricing'!AM189/40,"")</f>
        <v/>
      </c>
      <c r="AL34" s="708" t="str">
        <f>IFERROR('2. Roles &amp; Pricing'!AN189/40,"")</f>
        <v/>
      </c>
      <c r="AM34" s="708" t="str">
        <f>IFERROR('2. Roles &amp; Pricing'!AO189/40,"")</f>
        <v/>
      </c>
      <c r="AN34" s="708" t="str">
        <f>IFERROR('2. Roles &amp; Pricing'!AP189/40,"")</f>
        <v/>
      </c>
      <c r="AO34" s="708" t="str">
        <f>IFERROR('2. Roles &amp; Pricing'!AQ189/40,"")</f>
        <v/>
      </c>
      <c r="AP34" s="708" t="str">
        <f>IFERROR('2. Roles &amp; Pricing'!AR189/40,"")</f>
        <v/>
      </c>
      <c r="AQ34" s="708" t="str">
        <f>IFERROR('2. Roles &amp; Pricing'!AS189/40,"")</f>
        <v/>
      </c>
      <c r="AR34" s="708" t="str">
        <f>IFERROR('2. Roles &amp; Pricing'!AT189/40,"")</f>
        <v/>
      </c>
      <c r="AS34" s="708" t="str">
        <f>IFERROR('2. Roles &amp; Pricing'!AU189/40,"")</f>
        <v/>
      </c>
      <c r="AT34" s="708" t="str">
        <f>IFERROR('2. Roles &amp; Pricing'!AV189/40,"")</f>
        <v/>
      </c>
      <c r="AU34" s="708" t="str">
        <f>IFERROR('2. Roles &amp; Pricing'!AW189/40,"")</f>
        <v/>
      </c>
      <c r="AV34" s="708" t="str">
        <f>IFERROR('2. Roles &amp; Pricing'!AX189/40,"")</f>
        <v/>
      </c>
      <c r="AW34" s="708" t="str">
        <f>IFERROR('2. Roles &amp; Pricing'!AY189/40,"")</f>
        <v/>
      </c>
      <c r="AX34" s="708" t="str">
        <f>IFERROR('2. Roles &amp; Pricing'!AZ189/40,"")</f>
        <v/>
      </c>
      <c r="AY34" s="708" t="str">
        <f>IFERROR('2. Roles &amp; Pricing'!BA189/40,"")</f>
        <v/>
      </c>
      <c r="AZ34" s="708" t="str">
        <f>IFERROR('2. Roles &amp; Pricing'!BB189/40,"")</f>
        <v/>
      </c>
      <c r="BA34" s="708" t="str">
        <f>IFERROR('2. Roles &amp; Pricing'!BC189/40,"")</f>
        <v/>
      </c>
      <c r="BB34" s="708" t="str">
        <f>IFERROR('2. Roles &amp; Pricing'!BD189/40,"")</f>
        <v/>
      </c>
      <c r="BC34" s="708" t="str">
        <f>IFERROR('2. Roles &amp; Pricing'!BE189/40,"")</f>
        <v/>
      </c>
      <c r="BD34" s="708" t="str">
        <f>IFERROR('2. Roles &amp; Pricing'!BF189/40,"")</f>
        <v/>
      </c>
      <c r="BE34" s="708" t="str">
        <f>IFERROR('2. Roles &amp; Pricing'!BG189/40,"")</f>
        <v/>
      </c>
      <c r="BF34" s="708" t="str">
        <f>IFERROR('2. Roles &amp; Pricing'!BH189/40,"")</f>
        <v/>
      </c>
      <c r="BG34" s="708" t="str">
        <f>IFERROR('2. Roles &amp; Pricing'!BI189/40,"")</f>
        <v/>
      </c>
      <c r="BH34" s="708" t="str">
        <f>IFERROR('2. Roles &amp; Pricing'!BJ189/40,"")</f>
        <v/>
      </c>
      <c r="BI34" s="708" t="str">
        <f>IFERROR('2. Roles &amp; Pricing'!BK189/40,"")</f>
        <v/>
      </c>
      <c r="BJ34" s="708" t="str">
        <f>IFERROR('2. Roles &amp; Pricing'!BL189/40,"")</f>
        <v/>
      </c>
      <c r="BK34" s="708" t="str">
        <f>IFERROR('2. Roles &amp; Pricing'!BM189/40,"")</f>
        <v/>
      </c>
      <c r="BL34" s="708" t="str">
        <f>IFERROR('2. Roles &amp; Pricing'!BN189/40,"")</f>
        <v/>
      </c>
      <c r="BM34" s="708" t="str">
        <f>IFERROR('2. Roles &amp; Pricing'!BO189/40,"")</f>
        <v/>
      </c>
      <c r="BN34" s="259"/>
      <c r="BO34" s="260" t="s">
        <v>13</v>
      </c>
      <c r="BR34" s="261"/>
      <c r="BS34" s="144"/>
      <c r="BT34" s="144"/>
      <c r="BU34" s="144"/>
    </row>
    <row r="35" spans="1:75" s="140" customFormat="1" ht="14.5" thickBot="1" x14ac:dyDescent="0.35">
      <c r="A35" s="141"/>
      <c r="B35" s="262"/>
      <c r="C35" s="262"/>
      <c r="D35" s="262"/>
      <c r="E35" s="262"/>
      <c r="F35" s="262"/>
      <c r="J35" s="147"/>
      <c r="K35" s="263"/>
      <c r="N35" s="264"/>
      <c r="O35" s="265"/>
      <c r="P35" s="265"/>
      <c r="Q35" s="266"/>
      <c r="R35" s="267"/>
      <c r="S35" s="266"/>
      <c r="T35" s="267"/>
      <c r="U35" s="266"/>
      <c r="V35" s="267"/>
      <c r="W35" s="266"/>
      <c r="X35" s="267"/>
      <c r="Y35" s="266"/>
      <c r="Z35" s="267"/>
      <c r="AA35" s="266"/>
      <c r="AB35" s="267"/>
      <c r="AC35" s="266"/>
      <c r="AD35" s="267"/>
      <c r="AE35" s="266"/>
      <c r="AF35" s="267"/>
      <c r="AG35" s="266"/>
      <c r="AH35" s="266"/>
      <c r="AI35" s="267"/>
      <c r="AJ35" s="266"/>
      <c r="AK35" s="267"/>
      <c r="AL35" s="266"/>
      <c r="AM35" s="267"/>
      <c r="AN35" s="266"/>
      <c r="AO35" s="267"/>
      <c r="AP35" s="266"/>
      <c r="AQ35" s="267"/>
      <c r="AR35" s="266"/>
      <c r="AS35" s="266"/>
      <c r="AT35" s="267"/>
      <c r="AU35" s="266"/>
      <c r="AV35" s="267"/>
      <c r="AW35" s="266"/>
      <c r="AX35" s="267"/>
      <c r="AY35" s="266"/>
      <c r="AZ35" s="267"/>
      <c r="BA35" s="266"/>
      <c r="BB35" s="267"/>
      <c r="BC35" s="266"/>
      <c r="BD35" s="267"/>
      <c r="BE35" s="266"/>
      <c r="BF35" s="267"/>
      <c r="BG35" s="266"/>
      <c r="BH35" s="267"/>
      <c r="BI35" s="266"/>
      <c r="BJ35" s="267"/>
      <c r="BK35" s="266"/>
      <c r="BL35" s="267"/>
      <c r="BM35" s="266"/>
      <c r="BN35" s="1975" t="s">
        <v>2021</v>
      </c>
      <c r="BO35" s="1976"/>
      <c r="BP35" s="864">
        <v>0</v>
      </c>
      <c r="BR35" s="141"/>
      <c r="BS35" s="146" t="s">
        <v>2022</v>
      </c>
      <c r="BT35" s="2059">
        <f>IF(H5="Fixed Price",'3. Financial Inputs'!C67,'3. Financial Inputs'!C65)</f>
        <v>0.08</v>
      </c>
      <c r="BU35" s="142" t="s">
        <v>2178</v>
      </c>
    </row>
    <row r="36" spans="1:75" s="140" customFormat="1" ht="14.5" thickBot="1" x14ac:dyDescent="0.35">
      <c r="A36" s="141"/>
      <c r="B36" s="262"/>
      <c r="C36" s="262"/>
      <c r="D36" s="262"/>
      <c r="E36" s="262"/>
      <c r="F36" s="262"/>
      <c r="J36" s="268" t="s">
        <v>2023</v>
      </c>
      <c r="N36" s="269"/>
      <c r="O36" s="142"/>
      <c r="P36" s="142"/>
      <c r="Q36" s="270"/>
      <c r="R36" s="271"/>
      <c r="S36" s="270"/>
      <c r="T36" s="271"/>
      <c r="U36" s="270"/>
      <c r="V36" s="271"/>
      <c r="W36" s="270"/>
      <c r="X36" s="271"/>
      <c r="Y36" s="270"/>
      <c r="Z36" s="271"/>
      <c r="AA36" s="270"/>
      <c r="AB36" s="271"/>
      <c r="AC36" s="270"/>
      <c r="AD36" s="271"/>
      <c r="AE36" s="270"/>
      <c r="AF36" s="271"/>
      <c r="AG36" s="270"/>
      <c r="AH36" s="270"/>
      <c r="AI36" s="271"/>
      <c r="AJ36" s="270"/>
      <c r="AK36" s="271"/>
      <c r="AL36" s="270"/>
      <c r="AM36" s="271"/>
      <c r="AN36" s="270"/>
      <c r="AO36" s="271"/>
      <c r="AP36" s="270"/>
      <c r="AQ36" s="271"/>
      <c r="AR36" s="270"/>
      <c r="AS36" s="270"/>
      <c r="AT36" s="271"/>
      <c r="AU36" s="270"/>
      <c r="AV36" s="271"/>
      <c r="AW36" s="270"/>
      <c r="AX36" s="271"/>
      <c r="AY36" s="270"/>
      <c r="AZ36" s="271"/>
      <c r="BA36" s="270"/>
      <c r="BB36" s="271"/>
      <c r="BC36" s="270"/>
      <c r="BD36" s="271"/>
      <c r="BE36" s="270"/>
      <c r="BF36" s="271"/>
      <c r="BG36" s="270"/>
      <c r="BH36" s="271"/>
      <c r="BI36" s="270"/>
      <c r="BJ36" s="271"/>
      <c r="BK36" s="270"/>
      <c r="BL36" s="271"/>
      <c r="BM36" s="270"/>
      <c r="BN36" s="1977" t="s">
        <v>2024</v>
      </c>
      <c r="BO36" s="1978"/>
      <c r="BP36" s="272">
        <f>+BP33-BP35</f>
        <v>766000</v>
      </c>
      <c r="BR36" s="141"/>
      <c r="BS36" s="145"/>
      <c r="BT36" s="142"/>
      <c r="BU36" s="142"/>
    </row>
    <row r="37" spans="1:75" s="140" customFormat="1" x14ac:dyDescent="0.3">
      <c r="A37" s="141"/>
      <c r="B37" s="262"/>
      <c r="C37" s="262"/>
      <c r="D37" s="262"/>
      <c r="E37" s="262"/>
      <c r="F37" s="262"/>
      <c r="J37" s="273" t="s">
        <v>180</v>
      </c>
      <c r="K37" s="147"/>
      <c r="N37" s="274">
        <f t="shared" ref="N37:AS37" si="52">SUMPRODUCT(N15:N32,$BS$15:$BS$32)*40</f>
        <v>23920</v>
      </c>
      <c r="O37" s="275">
        <f t="shared" si="52"/>
        <v>23920</v>
      </c>
      <c r="P37" s="276">
        <f t="shared" si="52"/>
        <v>23920</v>
      </c>
      <c r="Q37" s="277">
        <f t="shared" si="52"/>
        <v>23920</v>
      </c>
      <c r="R37" s="278">
        <f t="shared" si="52"/>
        <v>26120</v>
      </c>
      <c r="S37" s="277">
        <f t="shared" si="52"/>
        <v>26120</v>
      </c>
      <c r="T37" s="278">
        <f t="shared" si="52"/>
        <v>26120</v>
      </c>
      <c r="U37" s="277">
        <f t="shared" si="52"/>
        <v>26120</v>
      </c>
      <c r="V37" s="278">
        <f t="shared" si="52"/>
        <v>26120</v>
      </c>
      <c r="W37" s="277">
        <f t="shared" si="52"/>
        <v>26120</v>
      </c>
      <c r="X37" s="278">
        <f t="shared" si="52"/>
        <v>26120</v>
      </c>
      <c r="Y37" s="277">
        <f t="shared" si="52"/>
        <v>26120</v>
      </c>
      <c r="Z37" s="278">
        <f t="shared" si="52"/>
        <v>26120</v>
      </c>
      <c r="AA37" s="277">
        <f t="shared" si="52"/>
        <v>23920</v>
      </c>
      <c r="AB37" s="278">
        <f t="shared" si="52"/>
        <v>23920</v>
      </c>
      <c r="AC37" s="277">
        <f t="shared" si="52"/>
        <v>23920</v>
      </c>
      <c r="AD37" s="278">
        <f t="shared" si="52"/>
        <v>23920</v>
      </c>
      <c r="AE37" s="277">
        <f t="shared" si="52"/>
        <v>26120</v>
      </c>
      <c r="AF37" s="278">
        <f t="shared" si="52"/>
        <v>26120</v>
      </c>
      <c r="AG37" s="277">
        <f t="shared" si="52"/>
        <v>26120</v>
      </c>
      <c r="AH37" s="277">
        <f t="shared" si="52"/>
        <v>26120</v>
      </c>
      <c r="AI37" s="278">
        <f t="shared" si="52"/>
        <v>26120</v>
      </c>
      <c r="AJ37" s="277">
        <f t="shared" si="52"/>
        <v>26120</v>
      </c>
      <c r="AK37" s="278">
        <f t="shared" si="52"/>
        <v>26120</v>
      </c>
      <c r="AL37" s="277">
        <f t="shared" si="52"/>
        <v>26120</v>
      </c>
      <c r="AM37" s="278">
        <f t="shared" si="52"/>
        <v>26120</v>
      </c>
      <c r="AN37" s="277">
        <f t="shared" si="52"/>
        <v>26120</v>
      </c>
      <c r="AO37" s="278">
        <f t="shared" si="52"/>
        <v>26120</v>
      </c>
      <c r="AP37" s="277">
        <f t="shared" si="52"/>
        <v>26120</v>
      </c>
      <c r="AQ37" s="278">
        <f t="shared" si="52"/>
        <v>26120</v>
      </c>
      <c r="AR37" s="277">
        <f t="shared" si="52"/>
        <v>0</v>
      </c>
      <c r="AS37" s="277">
        <f t="shared" si="52"/>
        <v>0</v>
      </c>
      <c r="AT37" s="278">
        <f t="shared" ref="AT37:BM37" si="53">SUMPRODUCT(AT15:AT32,$BS$15:$BS$32)*40</f>
        <v>0</v>
      </c>
      <c r="AU37" s="277">
        <f t="shared" si="53"/>
        <v>0</v>
      </c>
      <c r="AV37" s="278">
        <f t="shared" si="53"/>
        <v>0</v>
      </c>
      <c r="AW37" s="277">
        <f t="shared" si="53"/>
        <v>0</v>
      </c>
      <c r="AX37" s="278">
        <f t="shared" si="53"/>
        <v>0</v>
      </c>
      <c r="AY37" s="277">
        <f t="shared" si="53"/>
        <v>0</v>
      </c>
      <c r="AZ37" s="278">
        <f t="shared" si="53"/>
        <v>0</v>
      </c>
      <c r="BA37" s="277">
        <f t="shared" si="53"/>
        <v>0</v>
      </c>
      <c r="BB37" s="278">
        <f t="shared" si="53"/>
        <v>0</v>
      </c>
      <c r="BC37" s="277">
        <f t="shared" si="53"/>
        <v>0</v>
      </c>
      <c r="BD37" s="278">
        <f t="shared" si="53"/>
        <v>0</v>
      </c>
      <c r="BE37" s="277">
        <f t="shared" si="53"/>
        <v>0</v>
      </c>
      <c r="BF37" s="278">
        <f t="shared" si="53"/>
        <v>0</v>
      </c>
      <c r="BG37" s="277">
        <f t="shared" si="53"/>
        <v>0</v>
      </c>
      <c r="BH37" s="278">
        <f t="shared" si="53"/>
        <v>0</v>
      </c>
      <c r="BI37" s="277">
        <f t="shared" si="53"/>
        <v>0</v>
      </c>
      <c r="BJ37" s="278">
        <f t="shared" si="53"/>
        <v>0</v>
      </c>
      <c r="BK37" s="277">
        <f t="shared" si="53"/>
        <v>0</v>
      </c>
      <c r="BL37" s="278">
        <f t="shared" si="53"/>
        <v>0</v>
      </c>
      <c r="BM37" s="277">
        <f t="shared" si="53"/>
        <v>0</v>
      </c>
      <c r="BN37" s="1979" t="s">
        <v>2025</v>
      </c>
      <c r="BO37" s="1980"/>
      <c r="BP37" s="279">
        <f>+BP36*1.4</f>
        <v>1072400</v>
      </c>
      <c r="BR37" s="141"/>
      <c r="BS37" s="280"/>
      <c r="BT37" s="281" t="s">
        <v>2026</v>
      </c>
      <c r="BU37" s="281" t="s">
        <v>2027</v>
      </c>
      <c r="BV37" s="281" t="s">
        <v>2028</v>
      </c>
    </row>
    <row r="38" spans="1:75" s="140" customFormat="1" ht="14.5" thickBot="1" x14ac:dyDescent="0.35">
      <c r="A38" s="141"/>
      <c r="B38" s="262"/>
      <c r="C38" s="262"/>
      <c r="D38" s="262"/>
      <c r="E38" s="262"/>
      <c r="F38" s="262"/>
      <c r="J38" s="273" t="s">
        <v>2029</v>
      </c>
      <c r="K38" s="147"/>
      <c r="N38" s="282">
        <f>SUM(N37)</f>
        <v>23920</v>
      </c>
      <c r="O38" s="1956">
        <f>SUM(O37:Q37)</f>
        <v>71760</v>
      </c>
      <c r="P38" s="1957"/>
      <c r="Q38" s="1958"/>
      <c r="R38" s="1959">
        <f>SUM(R37:S37)</f>
        <v>52240</v>
      </c>
      <c r="S38" s="1960"/>
      <c r="T38" s="1956">
        <f>SUM(T37:U37)</f>
        <v>52240</v>
      </c>
      <c r="U38" s="1958"/>
      <c r="V38" s="1959">
        <f>SUM(V37:AS37)</f>
        <v>565840</v>
      </c>
      <c r="W38" s="1961"/>
      <c r="X38" s="1961"/>
      <c r="Y38" s="1961"/>
      <c r="Z38" s="1961"/>
      <c r="AA38" s="1961"/>
      <c r="AB38" s="1961"/>
      <c r="AC38" s="1961"/>
      <c r="AD38" s="1961"/>
      <c r="AE38" s="1961"/>
      <c r="AF38" s="1961"/>
      <c r="AG38" s="1961"/>
      <c r="AH38" s="1961"/>
      <c r="AI38" s="1961"/>
      <c r="AJ38" s="1961"/>
      <c r="AK38" s="1961"/>
      <c r="AL38" s="1961"/>
      <c r="AM38" s="1961"/>
      <c r="AN38" s="1961"/>
      <c r="AO38" s="1961"/>
      <c r="AP38" s="1961"/>
      <c r="AQ38" s="1961"/>
      <c r="AR38" s="1961"/>
      <c r="AS38" s="1960"/>
      <c r="AT38" s="1956">
        <f>SUM(AT37:AU37)</f>
        <v>0</v>
      </c>
      <c r="AU38" s="1958"/>
      <c r="AV38" s="1959">
        <f>SUM(AV37:AW37)</f>
        <v>0</v>
      </c>
      <c r="AW38" s="1960"/>
      <c r="AX38" s="1956">
        <f>SUM(AX37:AY37)</f>
        <v>0</v>
      </c>
      <c r="AY38" s="1958"/>
      <c r="AZ38" s="1959">
        <f>SUM(AZ37:BA37)</f>
        <v>0</v>
      </c>
      <c r="BA38" s="1960"/>
      <c r="BB38" s="1956">
        <f>SUM(BB37:BC37)</f>
        <v>0</v>
      </c>
      <c r="BC38" s="1958"/>
      <c r="BD38" s="1956">
        <f>SUM(BD37:BE37)</f>
        <v>0</v>
      </c>
      <c r="BE38" s="1958"/>
      <c r="BF38" s="1959">
        <f>SUM(BF37:BG37)</f>
        <v>0</v>
      </c>
      <c r="BG38" s="1960"/>
      <c r="BH38" s="1956">
        <f>SUM(BH37:BI37)</f>
        <v>0</v>
      </c>
      <c r="BI38" s="1958"/>
      <c r="BJ38" s="1959">
        <f>SUM(BJ37:BK37)</f>
        <v>0</v>
      </c>
      <c r="BK38" s="1960"/>
      <c r="BL38" s="1956">
        <f>SUM(BL37:BM37)</f>
        <v>0</v>
      </c>
      <c r="BM38" s="1958"/>
      <c r="BN38" s="1981" t="s">
        <v>2030</v>
      </c>
      <c r="BO38" s="1982"/>
      <c r="BP38" s="283">
        <f>+BP36*1.2</f>
        <v>919200</v>
      </c>
      <c r="BR38" s="141"/>
      <c r="BS38" s="284" t="s">
        <v>2031</v>
      </c>
      <c r="BT38" s="285">
        <f>BP36-BP35</f>
        <v>766000</v>
      </c>
      <c r="BU38" s="286">
        <f>(BT38-BQ33)/BT38</f>
        <v>1</v>
      </c>
      <c r="BV38" s="285">
        <f>BT38/BU33</f>
        <v>110.37463976945244</v>
      </c>
    </row>
    <row r="39" spans="1:75" s="140" customFormat="1" ht="14.5" thickBot="1" x14ac:dyDescent="0.35">
      <c r="A39" s="141"/>
      <c r="B39" s="262"/>
      <c r="C39" s="262"/>
      <c r="D39" s="262"/>
      <c r="E39" s="262"/>
      <c r="F39" s="262"/>
      <c r="J39" s="287" t="s">
        <v>2032</v>
      </c>
      <c r="K39" s="147"/>
      <c r="N39" s="1969">
        <f>SUM(N37:Q37)</f>
        <v>95680</v>
      </c>
      <c r="O39" s="1970"/>
      <c r="P39" s="1970"/>
      <c r="Q39" s="1970"/>
      <c r="R39" s="1971">
        <f>SUM(R37:U37)</f>
        <v>104480</v>
      </c>
      <c r="S39" s="1972"/>
      <c r="T39" s="1972"/>
      <c r="U39" s="1972"/>
      <c r="V39" s="1969">
        <f>SUM(V37:BE37)</f>
        <v>565840</v>
      </c>
      <c r="W39" s="1970"/>
      <c r="X39" s="1970"/>
      <c r="Y39" s="1970"/>
      <c r="Z39" s="1970"/>
      <c r="AA39" s="1970"/>
      <c r="AB39" s="1970"/>
      <c r="AC39" s="1970"/>
      <c r="AD39" s="1970"/>
      <c r="AE39" s="1970"/>
      <c r="AF39" s="1970"/>
      <c r="AG39" s="1970"/>
      <c r="AH39" s="1970"/>
      <c r="AI39" s="1970"/>
      <c r="AJ39" s="1970"/>
      <c r="AK39" s="1970"/>
      <c r="AL39" s="1970"/>
      <c r="AM39" s="1970"/>
      <c r="AN39" s="1970"/>
      <c r="AO39" s="1970"/>
      <c r="AP39" s="1970"/>
      <c r="AQ39" s="1970"/>
      <c r="AR39" s="1970"/>
      <c r="AS39" s="1970"/>
      <c r="AT39" s="1970"/>
      <c r="AU39" s="1970"/>
      <c r="AV39" s="1970"/>
      <c r="AW39" s="1970"/>
      <c r="AX39" s="1970"/>
      <c r="AY39" s="1970"/>
      <c r="AZ39" s="1970"/>
      <c r="BA39" s="1970"/>
      <c r="BB39" s="1970"/>
      <c r="BC39" s="1970"/>
      <c r="BD39" s="1970"/>
      <c r="BE39" s="1970"/>
      <c r="BF39" s="1971">
        <f>SUM(BF37:BI37)</f>
        <v>0</v>
      </c>
      <c r="BG39" s="1972"/>
      <c r="BH39" s="1972"/>
      <c r="BI39" s="1972"/>
      <c r="BJ39" s="1969">
        <f>SUM(BJ37:BM37)</f>
        <v>0</v>
      </c>
      <c r="BK39" s="1970"/>
      <c r="BL39" s="1970"/>
      <c r="BM39" s="1970"/>
      <c r="BN39" s="1965" t="s">
        <v>2033</v>
      </c>
      <c r="BO39" s="1966"/>
      <c r="BP39" s="288">
        <f>+BP36*1.3</f>
        <v>995800</v>
      </c>
      <c r="BR39" s="141"/>
      <c r="BS39" s="289" t="s">
        <v>2034</v>
      </c>
      <c r="BT39" s="290">
        <f>BT33-BT35</f>
        <v>765999.92</v>
      </c>
      <c r="BU39" s="291">
        <f>(BT39-BQ33)/BT39</f>
        <v>1</v>
      </c>
      <c r="BV39" s="290">
        <f>BT39/BU33</f>
        <v>110.37462824207493</v>
      </c>
    </row>
    <row r="40" spans="1:75" s="140" customFormat="1" ht="14.5" thickBot="1" x14ac:dyDescent="0.35">
      <c r="A40" s="141"/>
      <c r="B40" s="262"/>
      <c r="C40" s="262"/>
      <c r="D40" s="262"/>
      <c r="E40" s="262"/>
      <c r="F40" s="262"/>
      <c r="K40" s="147"/>
      <c r="N40" s="148"/>
      <c r="O40" s="148"/>
      <c r="P40" s="148"/>
      <c r="Q40" s="148"/>
      <c r="R40" s="148"/>
      <c r="S40" s="148"/>
      <c r="T40" s="148"/>
      <c r="U40" s="68"/>
      <c r="V40" s="68"/>
      <c r="W40" s="68"/>
      <c r="X40" s="148"/>
      <c r="Y40" s="148"/>
      <c r="Z40" s="148"/>
      <c r="AA40" s="68"/>
      <c r="AB40" s="68"/>
      <c r="AC40" s="68"/>
      <c r="AD40" s="68"/>
      <c r="AE40" s="68"/>
      <c r="AF40" s="68"/>
      <c r="AG40" s="68"/>
      <c r="AH40" s="68"/>
      <c r="AI40" s="148"/>
      <c r="AJ40" s="148"/>
      <c r="AK40" s="148"/>
      <c r="AL40" s="68"/>
      <c r="AM40" s="68"/>
      <c r="AN40" s="68"/>
      <c r="AO40" s="68"/>
      <c r="AP40" s="68"/>
      <c r="AQ40" s="68"/>
      <c r="AR40" s="68"/>
      <c r="AS40" s="68"/>
      <c r="AT40" s="148"/>
      <c r="AU40" s="148"/>
      <c r="AV40" s="148"/>
      <c r="AW40" s="68"/>
      <c r="AX40" s="68"/>
      <c r="AY40" s="68"/>
      <c r="AZ40" s="68"/>
      <c r="BA40" s="68"/>
      <c r="BB40" s="68"/>
      <c r="BC40" s="68"/>
      <c r="BD40" s="148"/>
      <c r="BE40" s="148"/>
      <c r="BF40" s="148"/>
      <c r="BG40" s="68"/>
      <c r="BH40" s="68"/>
      <c r="BI40" s="68"/>
      <c r="BJ40" s="68"/>
      <c r="BK40" s="68"/>
      <c r="BL40" s="68"/>
      <c r="BM40" s="68"/>
      <c r="BR40" s="141"/>
      <c r="BS40" s="284" t="s">
        <v>2035</v>
      </c>
      <c r="BT40" s="285">
        <f>BQ33/(1-BU40)</f>
        <v>0</v>
      </c>
      <c r="BU40" s="292">
        <v>0.55000000000000004</v>
      </c>
      <c r="BV40" s="285">
        <f>BT40/BU33</f>
        <v>0</v>
      </c>
      <c r="BW40" s="140" t="s">
        <v>2036</v>
      </c>
    </row>
    <row r="41" spans="1:75" s="140" customFormat="1" ht="14.5" thickBot="1" x14ac:dyDescent="0.35">
      <c r="A41" s="141"/>
      <c r="B41" s="262"/>
      <c r="C41" s="262"/>
      <c r="D41" s="262"/>
      <c r="E41" s="262"/>
      <c r="F41" s="262"/>
      <c r="J41" s="268" t="s">
        <v>2037</v>
      </c>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1967" t="s">
        <v>2038</v>
      </c>
      <c r="BO41" s="1968"/>
      <c r="BP41" s="293">
        <f>BT33</f>
        <v>766000</v>
      </c>
      <c r="BQ41" s="294" t="s">
        <v>2039</v>
      </c>
      <c r="BR41" s="141"/>
    </row>
    <row r="42" spans="1:75" x14ac:dyDescent="0.3">
      <c r="J42" s="273" t="s">
        <v>180</v>
      </c>
      <c r="N42" s="274">
        <f t="shared" ref="N42:AS42" si="54">SUMPRODUCT(N15:N32,$BS$15:$BS$32)*40*1.2</f>
        <v>28704</v>
      </c>
      <c r="O42" s="278">
        <f t="shared" si="54"/>
        <v>28704</v>
      </c>
      <c r="P42" s="276">
        <f t="shared" si="54"/>
        <v>28704</v>
      </c>
      <c r="Q42" s="277">
        <f t="shared" si="54"/>
        <v>28704</v>
      </c>
      <c r="R42" s="278">
        <f t="shared" si="54"/>
        <v>31344</v>
      </c>
      <c r="S42" s="277">
        <f t="shared" si="54"/>
        <v>31344</v>
      </c>
      <c r="T42" s="278">
        <f t="shared" si="54"/>
        <v>31344</v>
      </c>
      <c r="U42" s="277">
        <f t="shared" si="54"/>
        <v>31344</v>
      </c>
      <c r="V42" s="278">
        <f t="shared" si="54"/>
        <v>31344</v>
      </c>
      <c r="W42" s="277">
        <f t="shared" si="54"/>
        <v>31344</v>
      </c>
      <c r="X42" s="278">
        <f t="shared" si="54"/>
        <v>31344</v>
      </c>
      <c r="Y42" s="277">
        <f t="shared" si="54"/>
        <v>31344</v>
      </c>
      <c r="Z42" s="278">
        <f t="shared" si="54"/>
        <v>31344</v>
      </c>
      <c r="AA42" s="277">
        <f t="shared" si="54"/>
        <v>28704</v>
      </c>
      <c r="AB42" s="278">
        <f t="shared" si="54"/>
        <v>28704</v>
      </c>
      <c r="AC42" s="277">
        <f t="shared" si="54"/>
        <v>28704</v>
      </c>
      <c r="AD42" s="278">
        <f t="shared" si="54"/>
        <v>28704</v>
      </c>
      <c r="AE42" s="277">
        <f t="shared" si="54"/>
        <v>31344</v>
      </c>
      <c r="AF42" s="278">
        <f t="shared" si="54"/>
        <v>31344</v>
      </c>
      <c r="AG42" s="277">
        <f t="shared" si="54"/>
        <v>31344</v>
      </c>
      <c r="AH42" s="277">
        <f t="shared" si="54"/>
        <v>31344</v>
      </c>
      <c r="AI42" s="278">
        <f t="shared" si="54"/>
        <v>31344</v>
      </c>
      <c r="AJ42" s="277">
        <f t="shared" si="54"/>
        <v>31344</v>
      </c>
      <c r="AK42" s="278">
        <f t="shared" si="54"/>
        <v>31344</v>
      </c>
      <c r="AL42" s="277">
        <f t="shared" si="54"/>
        <v>31344</v>
      </c>
      <c r="AM42" s="278">
        <f t="shared" si="54"/>
        <v>31344</v>
      </c>
      <c r="AN42" s="277">
        <f t="shared" si="54"/>
        <v>31344</v>
      </c>
      <c r="AO42" s="278">
        <f t="shared" si="54"/>
        <v>31344</v>
      </c>
      <c r="AP42" s="277">
        <f t="shared" si="54"/>
        <v>31344</v>
      </c>
      <c r="AQ42" s="278">
        <f t="shared" si="54"/>
        <v>31344</v>
      </c>
      <c r="AR42" s="277">
        <f t="shared" si="54"/>
        <v>0</v>
      </c>
      <c r="AS42" s="277">
        <f t="shared" si="54"/>
        <v>0</v>
      </c>
      <c r="AT42" s="278">
        <f t="shared" ref="AT42:BM42" si="55">SUMPRODUCT(AT15:AT32,$BS$15:$BS$32)*40*1.2</f>
        <v>0</v>
      </c>
      <c r="AU42" s="277">
        <f t="shared" si="55"/>
        <v>0</v>
      </c>
      <c r="AV42" s="278">
        <f t="shared" si="55"/>
        <v>0</v>
      </c>
      <c r="AW42" s="277">
        <f t="shared" si="55"/>
        <v>0</v>
      </c>
      <c r="AX42" s="278">
        <f t="shared" si="55"/>
        <v>0</v>
      </c>
      <c r="AY42" s="277">
        <f t="shared" si="55"/>
        <v>0</v>
      </c>
      <c r="AZ42" s="278">
        <f t="shared" si="55"/>
        <v>0</v>
      </c>
      <c r="BA42" s="277">
        <f t="shared" si="55"/>
        <v>0</v>
      </c>
      <c r="BB42" s="278">
        <f t="shared" si="55"/>
        <v>0</v>
      </c>
      <c r="BC42" s="277">
        <f t="shared" si="55"/>
        <v>0</v>
      </c>
      <c r="BD42" s="278">
        <f t="shared" si="55"/>
        <v>0</v>
      </c>
      <c r="BE42" s="277">
        <f t="shared" si="55"/>
        <v>0</v>
      </c>
      <c r="BF42" s="278">
        <f t="shared" si="55"/>
        <v>0</v>
      </c>
      <c r="BG42" s="277">
        <f t="shared" si="55"/>
        <v>0</v>
      </c>
      <c r="BH42" s="278">
        <f t="shared" si="55"/>
        <v>0</v>
      </c>
      <c r="BI42" s="277">
        <f t="shared" si="55"/>
        <v>0</v>
      </c>
      <c r="BJ42" s="278">
        <f t="shared" si="55"/>
        <v>0</v>
      </c>
      <c r="BK42" s="277">
        <f t="shared" si="55"/>
        <v>0</v>
      </c>
      <c r="BL42" s="278">
        <f t="shared" si="55"/>
        <v>0</v>
      </c>
      <c r="BM42" s="277">
        <f t="shared" si="55"/>
        <v>0</v>
      </c>
      <c r="BN42" s="1950" t="s">
        <v>2040</v>
      </c>
      <c r="BO42" s="1951"/>
      <c r="BP42" s="295"/>
      <c r="BT42" s="281" t="s">
        <v>2041</v>
      </c>
      <c r="BU42" s="281" t="s">
        <v>2042</v>
      </c>
      <c r="BV42" s="281" t="s">
        <v>2028</v>
      </c>
      <c r="BW42" s="296" t="s">
        <v>2043</v>
      </c>
    </row>
    <row r="43" spans="1:75" ht="14.5" thickBot="1" x14ac:dyDescent="0.35">
      <c r="J43" s="273" t="s">
        <v>2029</v>
      </c>
      <c r="N43" s="282">
        <f>SUM(N42)</f>
        <v>28704</v>
      </c>
      <c r="O43" s="1956">
        <f>SUM(O42:Q42)</f>
        <v>86112</v>
      </c>
      <c r="P43" s="1957"/>
      <c r="Q43" s="1958"/>
      <c r="R43" s="1959">
        <f>SUM(R42:S42)</f>
        <v>62688</v>
      </c>
      <c r="S43" s="1960"/>
      <c r="T43" s="1956">
        <f>SUM(T42:U42)</f>
        <v>62688</v>
      </c>
      <c r="U43" s="1958"/>
      <c r="V43" s="1959">
        <f>SUM(V42:AS42)</f>
        <v>679008</v>
      </c>
      <c r="W43" s="1961"/>
      <c r="X43" s="1961"/>
      <c r="Y43" s="1961"/>
      <c r="Z43" s="1961"/>
      <c r="AA43" s="1961"/>
      <c r="AB43" s="1961"/>
      <c r="AC43" s="1961"/>
      <c r="AD43" s="1961"/>
      <c r="AE43" s="1961"/>
      <c r="AF43" s="1961"/>
      <c r="AG43" s="1961"/>
      <c r="AH43" s="1961"/>
      <c r="AI43" s="1961"/>
      <c r="AJ43" s="1961"/>
      <c r="AK43" s="1961"/>
      <c r="AL43" s="1961"/>
      <c r="AM43" s="1961"/>
      <c r="AN43" s="1961"/>
      <c r="AO43" s="1961"/>
      <c r="AP43" s="1961"/>
      <c r="AQ43" s="1961"/>
      <c r="AR43" s="1961"/>
      <c r="AS43" s="1960"/>
      <c r="AT43" s="1956">
        <f>SUM(AT42:AU42)</f>
        <v>0</v>
      </c>
      <c r="AU43" s="1958"/>
      <c r="AV43" s="1959">
        <f>SUM(AV42:AW42)</f>
        <v>0</v>
      </c>
      <c r="AW43" s="1960"/>
      <c r="AX43" s="1956">
        <f>SUM(AX42:AY42)</f>
        <v>0</v>
      </c>
      <c r="AY43" s="1958"/>
      <c r="AZ43" s="1959">
        <f>SUM(AZ42:BA42)</f>
        <v>0</v>
      </c>
      <c r="BA43" s="1960"/>
      <c r="BB43" s="1956">
        <f>SUM(BB42:BC42)</f>
        <v>0</v>
      </c>
      <c r="BC43" s="1958"/>
      <c r="BD43" s="1956">
        <f>SUM(BD42:BE42)</f>
        <v>0</v>
      </c>
      <c r="BE43" s="1958"/>
      <c r="BF43" s="1959">
        <f>SUM(BF42:BG42)</f>
        <v>0</v>
      </c>
      <c r="BG43" s="1960"/>
      <c r="BH43" s="1956">
        <f>SUM(BH42:BI42)</f>
        <v>0</v>
      </c>
      <c r="BI43" s="1958"/>
      <c r="BJ43" s="1959">
        <f>SUM(BJ42:BK42)</f>
        <v>0</v>
      </c>
      <c r="BK43" s="1960"/>
      <c r="BL43" s="1956">
        <f>SUM(BL42:BM42)</f>
        <v>0</v>
      </c>
      <c r="BM43" s="1958"/>
      <c r="BN43" s="1950" t="s">
        <v>218</v>
      </c>
      <c r="BO43" s="1951"/>
      <c r="BP43" s="295"/>
      <c r="BS43" s="284" t="s">
        <v>2031</v>
      </c>
      <c r="BT43" s="285">
        <f>BP38-BP35</f>
        <v>919200</v>
      </c>
      <c r="BU43" s="286">
        <f>(BT43-BQ33)/BT43</f>
        <v>1</v>
      </c>
      <c r="BV43" s="285">
        <f>BT43/BU33</f>
        <v>132.44956772334294</v>
      </c>
    </row>
    <row r="44" spans="1:75" ht="14.5" thickBot="1" x14ac:dyDescent="0.35">
      <c r="J44" s="287" t="s">
        <v>2032</v>
      </c>
      <c r="N44" s="1947">
        <f>SUM(N42:Q42)</f>
        <v>114816</v>
      </c>
      <c r="O44" s="1948"/>
      <c r="P44" s="1948"/>
      <c r="Q44" s="1949"/>
      <c r="R44" s="1962">
        <f t="shared" ref="R44" si="56">SUM(R42:U42)</f>
        <v>125376</v>
      </c>
      <c r="S44" s="1963"/>
      <c r="T44" s="1963"/>
      <c r="U44" s="1964"/>
      <c r="V44" s="1947">
        <f t="shared" ref="V44" si="57">SUM(V42:BE42)</f>
        <v>679008</v>
      </c>
      <c r="W44" s="1948"/>
      <c r="X44" s="1948"/>
      <c r="Y44" s="1948"/>
      <c r="Z44" s="1948"/>
      <c r="AA44" s="1948"/>
      <c r="AB44" s="1948"/>
      <c r="AC44" s="1948"/>
      <c r="AD44" s="1948"/>
      <c r="AE44" s="1948"/>
      <c r="AF44" s="1948"/>
      <c r="AG44" s="1948"/>
      <c r="AH44" s="1948"/>
      <c r="AI44" s="1948"/>
      <c r="AJ44" s="1948"/>
      <c r="AK44" s="1948"/>
      <c r="AL44" s="1948"/>
      <c r="AM44" s="1948"/>
      <c r="AN44" s="1948"/>
      <c r="AO44" s="1948"/>
      <c r="AP44" s="1948"/>
      <c r="AQ44" s="1948"/>
      <c r="AR44" s="1948"/>
      <c r="AS44" s="1948"/>
      <c r="AT44" s="1948"/>
      <c r="AU44" s="1948"/>
      <c r="AV44" s="1948"/>
      <c r="AW44" s="1948"/>
      <c r="AX44" s="1948"/>
      <c r="AY44" s="1948"/>
      <c r="AZ44" s="1948"/>
      <c r="BA44" s="1948"/>
      <c r="BB44" s="1948"/>
      <c r="BC44" s="1948"/>
      <c r="BD44" s="1948"/>
      <c r="BE44" s="1949"/>
      <c r="BF44" s="1962">
        <f t="shared" ref="BF44" si="58">SUM(BF42:BI42)</f>
        <v>0</v>
      </c>
      <c r="BG44" s="1963"/>
      <c r="BH44" s="1963"/>
      <c r="BI44" s="1964"/>
      <c r="BJ44" s="1947">
        <f t="shared" ref="BJ44" si="59">SUM(BJ42:BM42)</f>
        <v>0</v>
      </c>
      <c r="BK44" s="1948"/>
      <c r="BL44" s="1948"/>
      <c r="BM44" s="1949"/>
      <c r="BN44" s="1950" t="s">
        <v>219</v>
      </c>
      <c r="BO44" s="1951"/>
      <c r="BP44" s="295"/>
      <c r="BS44" s="289" t="s">
        <v>2034</v>
      </c>
      <c r="BT44" s="290">
        <f>(BT33-BT35)*1.2</f>
        <v>919199.90399999998</v>
      </c>
      <c r="BU44" s="291">
        <f>(BT44-BQ33)/BT44</f>
        <v>1</v>
      </c>
      <c r="BV44" s="290">
        <f>BT44/BU33</f>
        <v>132.44955389048991</v>
      </c>
    </row>
    <row r="45" spans="1:75" ht="14.5" thickBot="1" x14ac:dyDescent="0.35">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1954" t="s">
        <v>2044</v>
      </c>
      <c r="BO45" s="1955"/>
      <c r="BP45" s="295"/>
      <c r="BS45" s="284" t="s">
        <v>2035</v>
      </c>
      <c r="BT45" s="285">
        <f>BQ33/(1-BU45)</f>
        <v>0</v>
      </c>
      <c r="BU45" s="292">
        <v>0.5</v>
      </c>
      <c r="BV45" s="285">
        <f>BT45/BU33</f>
        <v>0</v>
      </c>
      <c r="BW45" s="140" t="s">
        <v>2036</v>
      </c>
    </row>
    <row r="46" spans="1:75" ht="14.5" thickBot="1" x14ac:dyDescent="0.35">
      <c r="J46" s="268" t="s">
        <v>2045</v>
      </c>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297"/>
      <c r="BO46" s="298"/>
      <c r="BP46" s="299"/>
      <c r="BQ46" s="300" t="s">
        <v>2046</v>
      </c>
    </row>
    <row r="47" spans="1:75" x14ac:dyDescent="0.3">
      <c r="J47" s="273" t="s">
        <v>180</v>
      </c>
      <c r="N47" s="274">
        <f t="shared" ref="N47:AS47" si="60">SUMPRODUCT(N15:N32,$BS$15:$BS$32)*40*1.3</f>
        <v>31096</v>
      </c>
      <c r="O47" s="278">
        <f t="shared" si="60"/>
        <v>31096</v>
      </c>
      <c r="P47" s="276">
        <f t="shared" si="60"/>
        <v>31096</v>
      </c>
      <c r="Q47" s="277">
        <f t="shared" si="60"/>
        <v>31096</v>
      </c>
      <c r="R47" s="278">
        <f t="shared" si="60"/>
        <v>33956</v>
      </c>
      <c r="S47" s="277">
        <f t="shared" si="60"/>
        <v>33956</v>
      </c>
      <c r="T47" s="278">
        <f t="shared" si="60"/>
        <v>33956</v>
      </c>
      <c r="U47" s="277">
        <f t="shared" si="60"/>
        <v>33956</v>
      </c>
      <c r="V47" s="278">
        <f t="shared" si="60"/>
        <v>33956</v>
      </c>
      <c r="W47" s="277">
        <f t="shared" si="60"/>
        <v>33956</v>
      </c>
      <c r="X47" s="278">
        <f t="shared" si="60"/>
        <v>33956</v>
      </c>
      <c r="Y47" s="277">
        <f t="shared" si="60"/>
        <v>33956</v>
      </c>
      <c r="Z47" s="278">
        <f t="shared" si="60"/>
        <v>33956</v>
      </c>
      <c r="AA47" s="277">
        <f t="shared" si="60"/>
        <v>31096</v>
      </c>
      <c r="AB47" s="278">
        <f t="shared" si="60"/>
        <v>31096</v>
      </c>
      <c r="AC47" s="277">
        <f t="shared" si="60"/>
        <v>31096</v>
      </c>
      <c r="AD47" s="278">
        <f t="shared" si="60"/>
        <v>31096</v>
      </c>
      <c r="AE47" s="277">
        <f t="shared" si="60"/>
        <v>33956</v>
      </c>
      <c r="AF47" s="278">
        <f t="shared" si="60"/>
        <v>33956</v>
      </c>
      <c r="AG47" s="277">
        <f t="shared" si="60"/>
        <v>33956</v>
      </c>
      <c r="AH47" s="277">
        <f t="shared" si="60"/>
        <v>33956</v>
      </c>
      <c r="AI47" s="278">
        <f t="shared" si="60"/>
        <v>33956</v>
      </c>
      <c r="AJ47" s="277">
        <f t="shared" si="60"/>
        <v>33956</v>
      </c>
      <c r="AK47" s="278">
        <f t="shared" si="60"/>
        <v>33956</v>
      </c>
      <c r="AL47" s="277">
        <f t="shared" si="60"/>
        <v>33956</v>
      </c>
      <c r="AM47" s="278">
        <f t="shared" si="60"/>
        <v>33956</v>
      </c>
      <c r="AN47" s="277">
        <f t="shared" si="60"/>
        <v>33956</v>
      </c>
      <c r="AO47" s="278">
        <f t="shared" si="60"/>
        <v>33956</v>
      </c>
      <c r="AP47" s="277">
        <f t="shared" si="60"/>
        <v>33956</v>
      </c>
      <c r="AQ47" s="278">
        <f t="shared" si="60"/>
        <v>33956</v>
      </c>
      <c r="AR47" s="277">
        <f t="shared" si="60"/>
        <v>0</v>
      </c>
      <c r="AS47" s="277">
        <f t="shared" si="60"/>
        <v>0</v>
      </c>
      <c r="AT47" s="278">
        <f t="shared" ref="AT47:BM47" si="61">SUMPRODUCT(AT15:AT32,$BS$15:$BS$32)*40*1.3</f>
        <v>0</v>
      </c>
      <c r="AU47" s="277">
        <f t="shared" si="61"/>
        <v>0</v>
      </c>
      <c r="AV47" s="278">
        <f t="shared" si="61"/>
        <v>0</v>
      </c>
      <c r="AW47" s="277">
        <f t="shared" si="61"/>
        <v>0</v>
      </c>
      <c r="AX47" s="278">
        <f t="shared" si="61"/>
        <v>0</v>
      </c>
      <c r="AY47" s="277">
        <f t="shared" si="61"/>
        <v>0</v>
      </c>
      <c r="AZ47" s="278">
        <f t="shared" si="61"/>
        <v>0</v>
      </c>
      <c r="BA47" s="277">
        <f t="shared" si="61"/>
        <v>0</v>
      </c>
      <c r="BB47" s="278">
        <f t="shared" si="61"/>
        <v>0</v>
      </c>
      <c r="BC47" s="277">
        <f t="shared" si="61"/>
        <v>0</v>
      </c>
      <c r="BD47" s="278">
        <f t="shared" si="61"/>
        <v>0</v>
      </c>
      <c r="BE47" s="277">
        <f t="shared" si="61"/>
        <v>0</v>
      </c>
      <c r="BF47" s="278">
        <f t="shared" si="61"/>
        <v>0</v>
      </c>
      <c r="BG47" s="277">
        <f t="shared" si="61"/>
        <v>0</v>
      </c>
      <c r="BH47" s="278">
        <f t="shared" si="61"/>
        <v>0</v>
      </c>
      <c r="BI47" s="277">
        <f t="shared" si="61"/>
        <v>0</v>
      </c>
      <c r="BJ47" s="278">
        <f t="shared" si="61"/>
        <v>0</v>
      </c>
      <c r="BK47" s="277">
        <f t="shared" si="61"/>
        <v>0</v>
      </c>
      <c r="BL47" s="278">
        <f t="shared" si="61"/>
        <v>0</v>
      </c>
      <c r="BM47" s="277">
        <f t="shared" si="61"/>
        <v>0</v>
      </c>
      <c r="BN47" s="297"/>
      <c r="BO47" s="298"/>
      <c r="BP47" s="299"/>
    </row>
    <row r="48" spans="1:75" ht="14.5" thickBot="1" x14ac:dyDescent="0.35">
      <c r="J48" s="273" t="s">
        <v>2029</v>
      </c>
      <c r="N48" s="282">
        <f>SUM(N47)</f>
        <v>31096</v>
      </c>
      <c r="O48" s="1956">
        <f>SUM(O47:Q47)</f>
        <v>93288</v>
      </c>
      <c r="P48" s="1957"/>
      <c r="Q48" s="1958"/>
      <c r="R48" s="1959">
        <f>SUM(R47:S47)</f>
        <v>67912</v>
      </c>
      <c r="S48" s="1960"/>
      <c r="T48" s="1956">
        <f>SUM(T47:U47)</f>
        <v>67912</v>
      </c>
      <c r="U48" s="1958"/>
      <c r="V48" s="1959">
        <f>SUM(V47:AS47)</f>
        <v>735592</v>
      </c>
      <c r="W48" s="1961"/>
      <c r="X48" s="1961"/>
      <c r="Y48" s="1961"/>
      <c r="Z48" s="1961"/>
      <c r="AA48" s="1961"/>
      <c r="AB48" s="1961"/>
      <c r="AC48" s="1961"/>
      <c r="AD48" s="1961"/>
      <c r="AE48" s="1961"/>
      <c r="AF48" s="1961"/>
      <c r="AG48" s="1961"/>
      <c r="AH48" s="1961"/>
      <c r="AI48" s="1961"/>
      <c r="AJ48" s="1961"/>
      <c r="AK48" s="1961"/>
      <c r="AL48" s="1961"/>
      <c r="AM48" s="1961"/>
      <c r="AN48" s="1961"/>
      <c r="AO48" s="1961"/>
      <c r="AP48" s="1961"/>
      <c r="AQ48" s="1961"/>
      <c r="AR48" s="1961"/>
      <c r="AS48" s="1960"/>
      <c r="AT48" s="1956">
        <f>SUM(AT47:AU47)</f>
        <v>0</v>
      </c>
      <c r="AU48" s="1958"/>
      <c r="AV48" s="1959">
        <f>SUM(AV47:AW47)</f>
        <v>0</v>
      </c>
      <c r="AW48" s="1960"/>
      <c r="AX48" s="1956">
        <f>SUM(AX47:AY47)</f>
        <v>0</v>
      </c>
      <c r="AY48" s="1958"/>
      <c r="AZ48" s="1959">
        <f>SUM(AZ47:BA47)</f>
        <v>0</v>
      </c>
      <c r="BA48" s="1960"/>
      <c r="BB48" s="1956">
        <f>SUM(BB47:BC47)</f>
        <v>0</v>
      </c>
      <c r="BC48" s="1958"/>
      <c r="BD48" s="1956">
        <f>SUM(BD47:BE47)</f>
        <v>0</v>
      </c>
      <c r="BE48" s="1958"/>
      <c r="BF48" s="1959">
        <f>SUM(BF47:BG47)</f>
        <v>0</v>
      </c>
      <c r="BG48" s="1960"/>
      <c r="BH48" s="1956">
        <f>SUM(BH47:BI47)</f>
        <v>0</v>
      </c>
      <c r="BI48" s="1958"/>
      <c r="BJ48" s="1959">
        <f>SUM(BJ47:BK47)</f>
        <v>0</v>
      </c>
      <c r="BK48" s="1960"/>
      <c r="BL48" s="1956">
        <f>SUM(BL47:BM47)</f>
        <v>0</v>
      </c>
      <c r="BM48" s="1958"/>
      <c r="BN48" s="297"/>
      <c r="BO48" s="298"/>
      <c r="BP48" s="299"/>
    </row>
    <row r="49" spans="1:68" ht="14.5" thickBot="1" x14ac:dyDescent="0.35">
      <c r="J49" s="287" t="s">
        <v>2032</v>
      </c>
      <c r="N49" s="1947">
        <f>SUM(N47:Q47)</f>
        <v>124384</v>
      </c>
      <c r="O49" s="1948"/>
      <c r="P49" s="1948"/>
      <c r="Q49" s="1949"/>
      <c r="R49" s="1962">
        <f>SUM(R47:U47)</f>
        <v>135824</v>
      </c>
      <c r="S49" s="1963"/>
      <c r="T49" s="1963"/>
      <c r="U49" s="1964"/>
      <c r="V49" s="1947">
        <f t="shared" ref="V49" si="62">SUM(V47:BE47)</f>
        <v>735592</v>
      </c>
      <c r="W49" s="1948"/>
      <c r="X49" s="1948"/>
      <c r="Y49" s="1948"/>
      <c r="Z49" s="1948"/>
      <c r="AA49" s="1948"/>
      <c r="AB49" s="1948"/>
      <c r="AC49" s="1948"/>
      <c r="AD49" s="1948"/>
      <c r="AE49" s="1948"/>
      <c r="AF49" s="1948"/>
      <c r="AG49" s="1948"/>
      <c r="AH49" s="1948"/>
      <c r="AI49" s="1948"/>
      <c r="AJ49" s="1948"/>
      <c r="AK49" s="1948"/>
      <c r="AL49" s="1948"/>
      <c r="AM49" s="1948"/>
      <c r="AN49" s="1948"/>
      <c r="AO49" s="1948"/>
      <c r="AP49" s="1948"/>
      <c r="AQ49" s="1948"/>
      <c r="AR49" s="1948"/>
      <c r="AS49" s="1948"/>
      <c r="AT49" s="1948"/>
      <c r="AU49" s="1948"/>
      <c r="AV49" s="1948"/>
      <c r="AW49" s="1948"/>
      <c r="AX49" s="1948"/>
      <c r="AY49" s="1948"/>
      <c r="AZ49" s="1948"/>
      <c r="BA49" s="1948"/>
      <c r="BB49" s="1948"/>
      <c r="BC49" s="1948"/>
      <c r="BD49" s="1948"/>
      <c r="BE49" s="1949"/>
      <c r="BF49" s="1962">
        <f t="shared" ref="BF49" si="63">SUM(BF47:BI47)</f>
        <v>0</v>
      </c>
      <c r="BG49" s="1963"/>
      <c r="BH49" s="1963"/>
      <c r="BI49" s="1964"/>
      <c r="BJ49" s="1947">
        <f t="shared" ref="BJ49" si="64">SUM(BJ47:BM47)</f>
        <v>0</v>
      </c>
      <c r="BK49" s="1948"/>
      <c r="BL49" s="1948"/>
      <c r="BM49" s="1949"/>
      <c r="BN49" s="301"/>
      <c r="BO49" s="302"/>
      <c r="BP49" s="303"/>
    </row>
    <row r="50" spans="1:68" ht="14.5" thickBot="1" x14ac:dyDescent="0.35">
      <c r="BN50" s="1952" t="s">
        <v>2047</v>
      </c>
      <c r="BO50" s="1953"/>
      <c r="BP50" s="863">
        <f>'4. Summary &amp; Totals'!C36</f>
        <v>787521</v>
      </c>
    </row>
    <row r="51" spans="1:68" x14ac:dyDescent="0.3">
      <c r="J51" s="304" t="s">
        <v>2048</v>
      </c>
      <c r="K51" s="305">
        <f>+BP33/BO33/8</f>
        <v>110.37463976945244</v>
      </c>
    </row>
    <row r="52" spans="1:68" x14ac:dyDescent="0.3">
      <c r="J52" s="306" t="s">
        <v>2049</v>
      </c>
      <c r="K52" s="307">
        <f>+BP38/BO33/8</f>
        <v>132.44956772334294</v>
      </c>
    </row>
    <row r="53" spans="1:68" ht="14.5" thickBot="1" x14ac:dyDescent="0.35">
      <c r="J53" s="308" t="s">
        <v>2050</v>
      </c>
      <c r="K53" s="309">
        <f>+BP39/BO33/8</f>
        <v>143.48703170028818</v>
      </c>
    </row>
    <row r="54" spans="1:68" ht="14.5" thickBot="1" x14ac:dyDescent="0.35"/>
    <row r="55" spans="1:68" ht="15" x14ac:dyDescent="0.3">
      <c r="J55" s="304" t="s">
        <v>2051</v>
      </c>
      <c r="K55" s="310">
        <f>(BP36-BQ33)/BP36</f>
        <v>1</v>
      </c>
      <c r="P55" s="311"/>
    </row>
    <row r="56" spans="1:68" x14ac:dyDescent="0.3">
      <c r="J56" s="306" t="s">
        <v>2052</v>
      </c>
      <c r="K56" s="312">
        <f>(BP38-BQ33)/BP38</f>
        <v>1</v>
      </c>
    </row>
    <row r="57" spans="1:68" ht="14.5" thickBot="1" x14ac:dyDescent="0.35">
      <c r="J57" s="308" t="s">
        <v>2053</v>
      </c>
      <c r="K57" s="313">
        <f>(BP39-BQ33)/BP39</f>
        <v>1</v>
      </c>
    </row>
    <row r="59" spans="1:68" ht="22.5" x14ac:dyDescent="0.45">
      <c r="A59" s="314" t="s">
        <v>76</v>
      </c>
      <c r="B59" s="315"/>
      <c r="C59" s="315"/>
      <c r="D59" s="315"/>
      <c r="E59" s="315"/>
      <c r="F59" s="315"/>
      <c r="G59" s="315"/>
      <c r="H59" s="315"/>
      <c r="I59" s="315"/>
      <c r="J59" s="315"/>
    </row>
    <row r="61" spans="1:68" ht="14.5" thickBot="1" x14ac:dyDescent="0.35"/>
    <row r="62" spans="1:68" ht="63" x14ac:dyDescent="0.3">
      <c r="A62" s="316" t="s">
        <v>2054</v>
      </c>
      <c r="B62" s="317"/>
      <c r="C62" s="317"/>
      <c r="D62" s="317"/>
      <c r="E62" s="317"/>
      <c r="F62" s="317"/>
      <c r="G62" s="318"/>
      <c r="H62" s="319"/>
      <c r="I62" s="319"/>
      <c r="J62" s="320"/>
    </row>
    <row r="63" spans="1:68" x14ac:dyDescent="0.3">
      <c r="A63" s="321"/>
      <c r="B63" s="322"/>
      <c r="C63" s="322"/>
      <c r="D63" s="322"/>
      <c r="E63" s="322"/>
      <c r="F63" s="322"/>
      <c r="G63" s="142"/>
      <c r="H63" s="142"/>
      <c r="I63" s="142"/>
      <c r="J63" s="270"/>
    </row>
    <row r="64" spans="1:68" ht="63" x14ac:dyDescent="0.3">
      <c r="A64" s="323" t="s">
        <v>2055</v>
      </c>
      <c r="B64" s="324"/>
      <c r="C64" s="324"/>
      <c r="D64" s="324"/>
      <c r="E64" s="324"/>
      <c r="F64" s="324"/>
      <c r="G64" s="325"/>
      <c r="H64" s="326"/>
      <c r="I64" s="326"/>
      <c r="J64" s="327"/>
    </row>
    <row r="65" spans="1:16" ht="63" x14ac:dyDescent="0.3">
      <c r="A65" s="323" t="s">
        <v>2056</v>
      </c>
      <c r="B65" s="324"/>
      <c r="C65" s="324"/>
      <c r="D65" s="324"/>
      <c r="E65" s="324"/>
      <c r="F65" s="324"/>
      <c r="G65" s="325"/>
      <c r="H65" s="326"/>
      <c r="I65" s="326"/>
      <c r="J65" s="327"/>
    </row>
    <row r="66" spans="1:16" ht="63" x14ac:dyDescent="0.3">
      <c r="A66" s="323" t="s">
        <v>2057</v>
      </c>
      <c r="B66" s="324"/>
      <c r="C66" s="324"/>
      <c r="D66" s="324"/>
      <c r="E66" s="324"/>
      <c r="F66" s="324"/>
      <c r="G66" s="325"/>
      <c r="H66" s="326"/>
      <c r="I66" s="326"/>
      <c r="J66" s="327"/>
    </row>
    <row r="67" spans="1:16" ht="63.5" thickBot="1" x14ac:dyDescent="0.35">
      <c r="A67" s="328" t="s">
        <v>2058</v>
      </c>
      <c r="B67" s="329"/>
      <c r="C67" s="329"/>
      <c r="D67" s="329"/>
      <c r="E67" s="329"/>
      <c r="F67" s="329"/>
      <c r="G67" s="330"/>
      <c r="H67" s="331"/>
      <c r="I67" s="331"/>
      <c r="J67" s="332"/>
      <c r="P67" s="311"/>
    </row>
    <row r="68" spans="1:16" ht="14.5" thickBot="1" x14ac:dyDescent="0.35"/>
    <row r="69" spans="1:16" ht="63" x14ac:dyDescent="0.3">
      <c r="A69" s="333" t="s">
        <v>2059</v>
      </c>
      <c r="B69" s="334"/>
      <c r="C69" s="334"/>
      <c r="D69" s="334"/>
      <c r="E69" s="334"/>
      <c r="F69" s="334"/>
      <c r="G69" s="334"/>
      <c r="H69" s="334"/>
      <c r="I69" s="334"/>
      <c r="J69" s="335"/>
    </row>
    <row r="70" spans="1:16" x14ac:dyDescent="0.3">
      <c r="A70" s="321"/>
      <c r="B70" s="322"/>
      <c r="C70" s="322"/>
      <c r="D70" s="322"/>
      <c r="E70" s="322"/>
      <c r="F70" s="322"/>
      <c r="G70" s="142"/>
      <c r="H70" s="142"/>
      <c r="I70" s="142"/>
      <c r="J70" s="270"/>
    </row>
    <row r="71" spans="1:16" ht="63" x14ac:dyDescent="0.3">
      <c r="A71" s="336" t="s">
        <v>2060</v>
      </c>
      <c r="B71" s="337"/>
      <c r="C71" s="337"/>
      <c r="D71" s="337"/>
      <c r="E71" s="337"/>
      <c r="F71" s="337"/>
      <c r="G71" s="337"/>
      <c r="H71" s="337"/>
      <c r="I71" s="337"/>
      <c r="J71" s="338"/>
    </row>
    <row r="72" spans="1:16" ht="63" x14ac:dyDescent="0.3">
      <c r="A72" s="336" t="s">
        <v>2061</v>
      </c>
      <c r="B72" s="337"/>
      <c r="C72" s="337"/>
      <c r="D72" s="337"/>
      <c r="E72" s="337"/>
      <c r="F72" s="337"/>
      <c r="G72" s="337"/>
      <c r="H72" s="337"/>
      <c r="I72" s="337"/>
      <c r="J72" s="338"/>
    </row>
    <row r="73" spans="1:16" ht="63" x14ac:dyDescent="0.3">
      <c r="A73" s="336" t="s">
        <v>2062</v>
      </c>
      <c r="B73" s="337"/>
      <c r="C73" s="337"/>
      <c r="D73" s="337"/>
      <c r="E73" s="337"/>
      <c r="F73" s="337"/>
      <c r="G73" s="337"/>
      <c r="H73" s="337"/>
      <c r="I73" s="337"/>
      <c r="J73" s="338"/>
    </row>
    <row r="74" spans="1:16" ht="63.5" thickBot="1" x14ac:dyDescent="0.35">
      <c r="A74" s="339" t="s">
        <v>2063</v>
      </c>
      <c r="B74" s="340"/>
      <c r="C74" s="340"/>
      <c r="D74" s="340"/>
      <c r="E74" s="340"/>
      <c r="F74" s="340"/>
      <c r="G74" s="340"/>
      <c r="H74" s="340"/>
      <c r="I74" s="340"/>
      <c r="J74" s="341"/>
    </row>
  </sheetData>
  <mergeCells count="104">
    <mergeCell ref="G9:K11"/>
    <mergeCell ref="BR11:BR12"/>
    <mergeCell ref="G12:K13"/>
    <mergeCell ref="L12:M13"/>
    <mergeCell ref="O12:Q12"/>
    <mergeCell ref="R12:S12"/>
    <mergeCell ref="T12:U12"/>
    <mergeCell ref="V12:AS12"/>
    <mergeCell ref="BD12:BE12"/>
    <mergeCell ref="BF12:BG12"/>
    <mergeCell ref="AT12:AU12"/>
    <mergeCell ref="AV12:AW12"/>
    <mergeCell ref="AX12:AY12"/>
    <mergeCell ref="AZ12:BA12"/>
    <mergeCell ref="BB12:BC12"/>
    <mergeCell ref="AT13:AU13"/>
    <mergeCell ref="AX13:AY13"/>
    <mergeCell ref="AZ13:BA13"/>
    <mergeCell ref="BB13:BC13"/>
    <mergeCell ref="A33:I34"/>
    <mergeCell ref="BH12:BI12"/>
    <mergeCell ref="BJ12:BK12"/>
    <mergeCell ref="BL12:BM12"/>
    <mergeCell ref="BS12:BT13"/>
    <mergeCell ref="O13:Q13"/>
    <mergeCell ref="R13:S13"/>
    <mergeCell ref="T13:U13"/>
    <mergeCell ref="V13:AS13"/>
    <mergeCell ref="BD13:BE13"/>
    <mergeCell ref="BF13:BG13"/>
    <mergeCell ref="BH13:BI13"/>
    <mergeCell ref="BJ13:BK13"/>
    <mergeCell ref="BL13:BM13"/>
    <mergeCell ref="BN13:BR13"/>
    <mergeCell ref="AV13:AW13"/>
    <mergeCell ref="O38:Q38"/>
    <mergeCell ref="R38:S38"/>
    <mergeCell ref="T38:U38"/>
    <mergeCell ref="V38:AS38"/>
    <mergeCell ref="BD38:BE38"/>
    <mergeCell ref="V39:BE39"/>
    <mergeCell ref="BF39:BI39"/>
    <mergeCell ref="BJ39:BM39"/>
    <mergeCell ref="BW31:BW32"/>
    <mergeCell ref="BN35:BO35"/>
    <mergeCell ref="BN36:BO36"/>
    <mergeCell ref="BN37:BO37"/>
    <mergeCell ref="BF38:BG38"/>
    <mergeCell ref="BH38:BI38"/>
    <mergeCell ref="BJ38:BK38"/>
    <mergeCell ref="BL38:BM38"/>
    <mergeCell ref="BN38:BO38"/>
    <mergeCell ref="AT38:AU38"/>
    <mergeCell ref="AV38:AW38"/>
    <mergeCell ref="AX38:AY38"/>
    <mergeCell ref="AZ38:BA38"/>
    <mergeCell ref="BB38:BC38"/>
    <mergeCell ref="AZ48:BA48"/>
    <mergeCell ref="BB48:BC48"/>
    <mergeCell ref="BJ44:BM44"/>
    <mergeCell ref="BN39:BO39"/>
    <mergeCell ref="BN41:BO41"/>
    <mergeCell ref="BN42:BO42"/>
    <mergeCell ref="O43:Q43"/>
    <mergeCell ref="R43:S43"/>
    <mergeCell ref="T43:U43"/>
    <mergeCell ref="V43:AS43"/>
    <mergeCell ref="BD43:BE43"/>
    <mergeCell ref="BF43:BG43"/>
    <mergeCell ref="BH43:BI43"/>
    <mergeCell ref="BJ43:BK43"/>
    <mergeCell ref="BL43:BM43"/>
    <mergeCell ref="BN43:BO43"/>
    <mergeCell ref="N39:Q39"/>
    <mergeCell ref="R39:U39"/>
    <mergeCell ref="AT43:AU43"/>
    <mergeCell ref="AV43:AW43"/>
    <mergeCell ref="AX43:AY43"/>
    <mergeCell ref="AZ43:BA43"/>
    <mergeCell ref="BB43:BC43"/>
    <mergeCell ref="BJ49:BM49"/>
    <mergeCell ref="BN44:BO44"/>
    <mergeCell ref="BN50:BO50"/>
    <mergeCell ref="BN45:BO45"/>
    <mergeCell ref="O48:Q48"/>
    <mergeCell ref="R48:S48"/>
    <mergeCell ref="T48:U48"/>
    <mergeCell ref="V48:AS48"/>
    <mergeCell ref="BD48:BE48"/>
    <mergeCell ref="BF48:BG48"/>
    <mergeCell ref="BH48:BI48"/>
    <mergeCell ref="BJ48:BK48"/>
    <mergeCell ref="BL48:BM48"/>
    <mergeCell ref="N49:Q49"/>
    <mergeCell ref="R49:U49"/>
    <mergeCell ref="V49:BE49"/>
    <mergeCell ref="BF49:BI49"/>
    <mergeCell ref="N44:Q44"/>
    <mergeCell ref="R44:U44"/>
    <mergeCell ref="V44:BE44"/>
    <mergeCell ref="BF44:BI44"/>
    <mergeCell ref="AT48:AU48"/>
    <mergeCell ref="AV48:AW48"/>
    <mergeCell ref="AX48:AY48"/>
  </mergeCells>
  <phoneticPr fontId="33" type="noConversion"/>
  <conditionalFormatting sqref="J1 L1 K3:K8">
    <cfRule type="cellIs" dxfId="63" priority="21" operator="equal">
      <formula>"Onshore"</formula>
    </cfRule>
    <cfRule type="cellIs" dxfId="62" priority="22" operator="equal">
      <formula>"Onsite"</formula>
    </cfRule>
    <cfRule type="cellIs" dxfId="61" priority="23" operator="equal">
      <formula>"Onsite"</formula>
    </cfRule>
    <cfRule type="cellIs" dxfId="60" priority="24" operator="equal">
      <formula>"Onshore"</formula>
    </cfRule>
  </conditionalFormatting>
  <conditionalFormatting sqref="K14:K1048576">
    <cfRule type="cellIs" dxfId="59" priority="9" operator="equal">
      <formula>"Onshore"</formula>
    </cfRule>
    <cfRule type="cellIs" dxfId="58" priority="10" operator="equal">
      <formula>"Onsite"</formula>
    </cfRule>
    <cfRule type="cellIs" dxfId="57" priority="11" operator="equal">
      <formula>"Onsite"</formula>
    </cfRule>
    <cfRule type="cellIs" dxfId="56" priority="12" operator="equal">
      <formula>"Onshore"</formula>
    </cfRule>
  </conditionalFormatting>
  <conditionalFormatting sqref="K51:K53 BP35:BP39 N37:BM37 BP41:BP45 N42:BM42 N47:BM47 BP50 BP15:BQ33">
    <cfRule type="expression" dxfId="55" priority="25">
      <formula>$J$1="Canada"</formula>
    </cfRule>
  </conditionalFormatting>
  <conditionalFormatting sqref="BP35:BP39 N37:BM37 BP41:BP45 N42:BM42 N47:BM47 BP50 K51:K53 BP15:BQ33">
    <cfRule type="expression" dxfId="54" priority="26">
      <formula>$J$1="India"</formula>
    </cfRule>
    <cfRule type="expression" dxfId="53" priority="27">
      <formula>$J$1="US"</formula>
    </cfRule>
    <cfRule type="expression" dxfId="52" priority="28">
      <formula>$J$1="UK"</formula>
    </cfRule>
  </conditionalFormatting>
  <conditionalFormatting sqref="BT15:BT33">
    <cfRule type="expression" dxfId="51" priority="5">
      <formula>$J$1="Canada"</formula>
    </cfRule>
    <cfRule type="expression" dxfId="50" priority="6">
      <formula>$J$1="India"</formula>
    </cfRule>
    <cfRule type="expression" dxfId="49" priority="7">
      <formula>$J$1="US"</formula>
    </cfRule>
    <cfRule type="expression" dxfId="48" priority="8">
      <formula>$J$1="UK"</formula>
    </cfRule>
  </conditionalFormatting>
  <conditionalFormatting sqref="BT35">
    <cfRule type="expression" dxfId="47" priority="1">
      <formula>$J$1="Canada"</formula>
    </cfRule>
    <cfRule type="expression" dxfId="46" priority="2">
      <formula>$J$1="India"</formula>
    </cfRule>
    <cfRule type="expression" dxfId="45" priority="3">
      <formula>$J$1="US"</formula>
    </cfRule>
    <cfRule type="expression" dxfId="44" priority="4">
      <formula>$J$1="UK"</formula>
    </cfRule>
  </conditionalFormatting>
  <conditionalFormatting sqref="BV15:BV32">
    <cfRule type="expression" dxfId="43" priority="13">
      <formula>$J$1="Canada"</formula>
    </cfRule>
    <cfRule type="expression" dxfId="42" priority="14">
      <formula>$J$1="India"</formula>
    </cfRule>
    <cfRule type="expression" dxfId="41" priority="15">
      <formula>$J$1="US"</formula>
    </cfRule>
    <cfRule type="expression" dxfId="40"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8" xr:uid="{941F3AE3-3B07-4BC5-9B19-E8B1D06710D4}">
      <formula1>"USA,India,UK"</formula1>
    </dataValidation>
  </dataValidations>
  <hyperlinks>
    <hyperlink ref="G1" location="Instructions_Guidelines!A1" display="Instructions/ Guidelines" xr:uid="{6C0BBE9F-14C2-4CA5-AE37-80A11139183C}"/>
    <hyperlink ref="BQ46" location="Instructions_Guidelines!A1" display="Check Instructions_Guidelines" xr:uid="{C12D320A-AE4C-4BDA-B59F-82D766BAAE7A}"/>
    <hyperlink ref="BW31:BW32"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57" activePane="bottomLeft" state="frozen"/>
      <selection activeCell="G20" sqref="G20"/>
      <selection pane="bottomLeft" activeCell="C65" sqref="C65"/>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755" t="s">
        <v>0</v>
      </c>
      <c r="G2" s="1756"/>
      <c r="H2" s="1757"/>
    </row>
    <row r="3" spans="2:8" s="469" customFormat="1" ht="25" customHeight="1" x14ac:dyDescent="0.3">
      <c r="B3" s="1726" t="s">
        <v>3193</v>
      </c>
      <c r="C3" s="1726"/>
      <c r="D3" s="1726"/>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764" t="s">
        <v>2315</v>
      </c>
      <c r="C7" s="1764"/>
      <c r="D7" s="1764"/>
      <c r="E7" s="1764"/>
      <c r="F7" s="1764"/>
      <c r="G7" s="1764"/>
    </row>
    <row r="8" spans="2:8" x14ac:dyDescent="0.3">
      <c r="B8" s="1727" t="s">
        <v>3301</v>
      </c>
      <c r="C8" s="1727"/>
      <c r="D8" s="1727"/>
      <c r="E8" s="1727"/>
      <c r="F8" s="1727"/>
      <c r="G8" s="1727"/>
    </row>
    <row r="9" spans="2:8" x14ac:dyDescent="0.3">
      <c r="B9" s="1730" t="s">
        <v>3302</v>
      </c>
      <c r="C9" s="1730"/>
      <c r="D9" s="1730"/>
      <c r="E9" s="1730"/>
      <c r="F9" s="1730"/>
      <c r="G9" s="1730"/>
    </row>
    <row r="10" spans="2:8" x14ac:dyDescent="0.3">
      <c r="B10" s="1727" t="s">
        <v>3303</v>
      </c>
      <c r="C10" s="1727"/>
      <c r="D10" s="1727"/>
      <c r="E10" s="1727"/>
      <c r="F10" s="1727"/>
      <c r="G10" s="1727"/>
    </row>
    <row r="11" spans="2:8" x14ac:dyDescent="0.3">
      <c r="B11" s="1713" t="s">
        <v>3304</v>
      </c>
      <c r="C11" s="1713"/>
      <c r="D11" s="1713"/>
      <c r="E11" s="1713"/>
      <c r="F11" s="1713"/>
      <c r="G11" s="1713"/>
    </row>
    <row r="12" spans="2:8" ht="27.5" customHeight="1" x14ac:dyDescent="0.3">
      <c r="B12" s="1713" t="s">
        <v>3305</v>
      </c>
      <c r="C12" s="1713"/>
      <c r="D12" s="1713"/>
      <c r="E12" s="1713"/>
      <c r="F12" s="1713"/>
      <c r="G12" s="1713"/>
    </row>
    <row r="14" spans="2:8" ht="17.5" x14ac:dyDescent="0.3">
      <c r="B14" s="859" t="s">
        <v>2325</v>
      </c>
      <c r="C14" s="475"/>
      <c r="D14" s="475"/>
      <c r="E14" s="475"/>
      <c r="F14" s="475"/>
      <c r="G14" s="475"/>
      <c r="H14" s="475"/>
    </row>
    <row r="15" spans="2:8" ht="33.5" customHeight="1" x14ac:dyDescent="0.3">
      <c r="B15" s="1713" t="s">
        <v>3311</v>
      </c>
      <c r="C15" s="1713"/>
      <c r="D15" s="1713"/>
      <c r="E15" s="1713"/>
      <c r="F15" s="1713"/>
      <c r="G15" s="1713"/>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753" t="s">
        <v>3292</v>
      </c>
      <c r="C19" s="1754"/>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78" t="s">
        <v>3190</v>
      </c>
      <c r="C26" s="1678"/>
      <c r="D26" s="1678"/>
      <c r="E26" s="1678"/>
      <c r="F26" s="1678"/>
      <c r="G26" s="1678"/>
      <c r="H26" s="1678"/>
      <c r="I26" s="1678"/>
    </row>
    <row r="27" spans="2:9" x14ac:dyDescent="0.3">
      <c r="B27" s="1684" t="s">
        <v>3204</v>
      </c>
      <c r="C27" s="1684"/>
      <c r="D27" s="1684"/>
      <c r="E27" s="1684"/>
      <c r="F27" s="1684"/>
      <c r="G27" s="1684"/>
      <c r="H27" s="1684"/>
      <c r="I27" s="1466"/>
    </row>
    <row r="28" spans="2:9" x14ac:dyDescent="0.3">
      <c r="B28" s="1684" t="s">
        <v>3306</v>
      </c>
      <c r="C28" s="1684"/>
      <c r="D28" s="1684"/>
      <c r="E28" s="1684"/>
      <c r="F28" s="1684"/>
      <c r="G28" s="1684"/>
      <c r="H28" s="1684"/>
      <c r="I28" s="1466"/>
    </row>
    <row r="29" spans="2:9" x14ac:dyDescent="0.3">
      <c r="B29" s="1219"/>
      <c r="C29" s="1219"/>
      <c r="D29" s="1219"/>
      <c r="E29" s="1219"/>
      <c r="F29" s="1219"/>
      <c r="G29" s="1219"/>
      <c r="H29" s="1219"/>
      <c r="I29" s="1218"/>
    </row>
    <row r="30" spans="2:9" ht="19" customHeight="1" x14ac:dyDescent="0.3">
      <c r="B30" s="1634" t="s">
        <v>2265</v>
      </c>
      <c r="C30" s="1635"/>
    </row>
    <row r="31" spans="2:9" ht="19" customHeight="1" x14ac:dyDescent="0.3">
      <c r="B31" s="931" t="s">
        <v>2078</v>
      </c>
      <c r="C31" s="932">
        <f>'2. Roles &amp; Pricing'!D289</f>
        <v>766000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34" t="s">
        <v>2266</v>
      </c>
      <c r="C35" s="1635"/>
    </row>
    <row r="36" spans="2:15" ht="19" customHeight="1" x14ac:dyDescent="0.3">
      <c r="B36" s="931" t="s">
        <v>2078</v>
      </c>
      <c r="C36" s="932">
        <f>'2. Roles &amp; Pricing'!D289</f>
        <v>766000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731" t="s">
        <v>2377</v>
      </c>
      <c r="C41" s="1731"/>
      <c r="D41" s="1731"/>
      <c r="E41" s="1731"/>
      <c r="F41" s="1731"/>
      <c r="G41" s="1731"/>
      <c r="H41" s="1731"/>
      <c r="I41" s="1384"/>
    </row>
    <row r="42" spans="2:15" ht="14" customHeight="1" x14ac:dyDescent="0.3">
      <c r="B42" s="1729" t="s">
        <v>3191</v>
      </c>
      <c r="C42" s="1729"/>
      <c r="D42" s="1729"/>
      <c r="E42" s="1729"/>
      <c r="F42" s="1729"/>
      <c r="G42" s="1729"/>
      <c r="H42" s="1729"/>
      <c r="I42" s="1230"/>
    </row>
    <row r="43" spans="2:15" ht="15" customHeight="1" x14ac:dyDescent="0.3">
      <c r="B43" s="1729" t="s">
        <v>2331</v>
      </c>
      <c r="C43" s="1729"/>
      <c r="D43" s="1729"/>
      <c r="E43" s="1729"/>
      <c r="F43" s="1729"/>
      <c r="G43" s="1729"/>
      <c r="H43" s="1729"/>
    </row>
    <row r="44" spans="2:15" ht="15" customHeight="1" x14ac:dyDescent="0.3">
      <c r="B44" s="1713" t="s">
        <v>2326</v>
      </c>
      <c r="C44" s="1713"/>
      <c r="D44" s="1713"/>
      <c r="E44" s="1713"/>
      <c r="F44" s="1713"/>
      <c r="G44" s="1713"/>
      <c r="H44" s="710"/>
      <c r="J44" s="1206"/>
      <c r="K44" s="1206"/>
      <c r="L44" s="1206"/>
      <c r="M44" s="1206"/>
      <c r="N44" s="1206"/>
      <c r="O44" s="1206"/>
    </row>
    <row r="45" spans="2:15" ht="15" customHeight="1" x14ac:dyDescent="0.3">
      <c r="B45" s="1727" t="s">
        <v>3307</v>
      </c>
      <c r="C45" s="1727"/>
      <c r="D45" s="1727"/>
      <c r="E45" s="1727"/>
      <c r="F45" s="1727"/>
      <c r="G45" s="1727"/>
      <c r="H45" s="710"/>
      <c r="J45" s="1206"/>
      <c r="K45" s="1206"/>
      <c r="L45" s="1206"/>
      <c r="M45" s="1206"/>
      <c r="N45" s="1206"/>
      <c r="O45" s="1206"/>
    </row>
    <row r="46" spans="2:15" ht="29" customHeight="1" x14ac:dyDescent="0.3">
      <c r="B46" s="1727" t="s">
        <v>3205</v>
      </c>
      <c r="C46" s="1727"/>
      <c r="D46" s="1727"/>
      <c r="E46" s="1727"/>
      <c r="F46" s="1727"/>
      <c r="G46" s="1727"/>
      <c r="H46" s="1727"/>
      <c r="J46" s="1206"/>
      <c r="K46" s="1206"/>
      <c r="L46" s="1206"/>
      <c r="M46" s="1206"/>
      <c r="N46" s="1206"/>
      <c r="O46" s="1206"/>
    </row>
    <row r="47" spans="2:15" ht="15" customHeight="1" x14ac:dyDescent="0.3">
      <c r="B47" s="1728" t="s">
        <v>3192</v>
      </c>
      <c r="C47" s="1728"/>
      <c r="D47" s="1728"/>
      <c r="E47" s="1728"/>
      <c r="F47" s="1728"/>
      <c r="G47" s="1728"/>
      <c r="H47" s="710"/>
      <c r="J47" s="1206"/>
      <c r="K47" s="1206"/>
      <c r="L47" s="1206"/>
      <c r="M47" s="1206"/>
      <c r="N47" s="1206"/>
      <c r="O47" s="1206"/>
    </row>
    <row r="48" spans="2:15" x14ac:dyDescent="0.3">
      <c r="B48" s="1727" t="s">
        <v>2267</v>
      </c>
      <c r="C48" s="1727"/>
      <c r="D48" s="1727"/>
      <c r="E48" s="1727"/>
      <c r="F48" s="1727"/>
      <c r="G48" s="1727"/>
    </row>
    <row r="49" spans="2:9" x14ac:dyDescent="0.3">
      <c r="B49" s="710"/>
      <c r="C49" s="710"/>
      <c r="D49" s="710"/>
      <c r="E49" s="710"/>
      <c r="F49" s="710"/>
    </row>
    <row r="50" spans="2:9" x14ac:dyDescent="0.3">
      <c r="B50" s="1761" t="s">
        <v>2180</v>
      </c>
      <c r="C50" s="1762"/>
      <c r="D50" s="1762"/>
      <c r="E50" s="1763"/>
      <c r="F50" s="556"/>
      <c r="G50" s="556"/>
      <c r="H50" s="556"/>
    </row>
    <row r="51" spans="2:9" x14ac:dyDescent="0.3">
      <c r="B51" s="934" t="s">
        <v>189</v>
      </c>
      <c r="C51" s="935" t="s">
        <v>2086</v>
      </c>
      <c r="D51" s="935" t="s">
        <v>222</v>
      </c>
      <c r="E51" s="936" t="s">
        <v>111</v>
      </c>
      <c r="H51" s="458"/>
    </row>
    <row r="52" spans="2:9" ht="31" customHeight="1" x14ac:dyDescent="0.3">
      <c r="B52" s="937">
        <f>('2. Roles &amp; Pricing'!D289-'2. Roles &amp; Pricing'!F289)/'2. Roles &amp; Pricing'!D289</f>
        <v>0.55101827676240211</v>
      </c>
      <c r="C52" s="938">
        <v>0.47</v>
      </c>
      <c r="D52" s="939">
        <f>B52-C52</f>
        <v>8.1018276762402142E-2</v>
      </c>
      <c r="E52" s="940">
        <f>'2. Roles &amp; Pricing'!D289/'2. Roles &amp; Pricing'!M289</f>
        <v>110.37463976945244</v>
      </c>
      <c r="H52" s="562"/>
    </row>
    <row r="53" spans="2:9" x14ac:dyDescent="0.3">
      <c r="B53" s="1760"/>
      <c r="C53" s="1760"/>
      <c r="D53" s="1760"/>
      <c r="E53" s="1760"/>
      <c r="F53" s="1760"/>
      <c r="G53" s="556"/>
      <c r="H53" s="556"/>
    </row>
    <row r="54" spans="2:9" x14ac:dyDescent="0.3">
      <c r="B54" s="1732" t="s">
        <v>2179</v>
      </c>
      <c r="C54" s="1733"/>
      <c r="D54" s="1733"/>
      <c r="E54" s="1733"/>
      <c r="F54" s="1733"/>
      <c r="G54" s="1733"/>
      <c r="H54" s="1733"/>
      <c r="I54" s="1734"/>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1278166.6666666667</v>
      </c>
      <c r="D56" s="1231">
        <f>('4. Summary &amp; Totals'!$C$67)/(1-D55)+'4. Summary &amp; Totals'!$C$68</f>
        <v>1345359.649122807</v>
      </c>
      <c r="E56" s="1231">
        <f>('4. Summary &amp; Totals'!$C$67)/(1-E55)+'4. Summary &amp; Totals'!$C$68</f>
        <v>1394227.2727272727</v>
      </c>
      <c r="F56" s="1231">
        <f>('4. Summary &amp; Totals'!$C$67)/(1-F55)+'4. Summary &amp; Totals'!$C$68</f>
        <v>1533500</v>
      </c>
      <c r="G56" s="1231">
        <f>('4. Summary &amp; Totals'!$C$67)/(1-G55)+'4. Summary &amp; Totals'!$C$68</f>
        <v>1703722.2222222225</v>
      </c>
      <c r="H56" s="1231" t="str">
        <f>IF(H55="Enter Test Margin %","",('4. Summary &amp; Totals'!$C$67)/(1-H55)+'4. Summary &amp; Totals'!$C$68)</f>
        <v/>
      </c>
      <c r="I56" s="1232" t="s">
        <v>3685</v>
      </c>
    </row>
    <row r="57" spans="2:9" x14ac:dyDescent="0.3">
      <c r="B57" s="945" t="s">
        <v>225</v>
      </c>
      <c r="C57" s="1233">
        <f>IFERROR(ROUNDUP((C56/'2. Roles &amp; Pricing'!$M$289),0),"")</f>
        <v>185</v>
      </c>
      <c r="D57" s="1233">
        <f>ROUNDUP(IFERROR(D56/'2. Roles &amp; Pricing'!$M$289,""),0)</f>
        <v>194</v>
      </c>
      <c r="E57" s="1233">
        <f>ROUNDUP(IFERROR(E56/'2. Roles &amp; Pricing'!$M$289,""),0)</f>
        <v>201</v>
      </c>
      <c r="F57" s="1233">
        <f>ROUNDUP(IFERROR(F56/'2. Roles &amp; Pricing'!$M$289,""),0)</f>
        <v>221</v>
      </c>
      <c r="G57" s="1233">
        <f>ROUNDUP(IFERROR(G56/'2. Roles &amp; Pricing'!$M$289,""),0)</f>
        <v>246</v>
      </c>
      <c r="H57" s="1233" t="str">
        <f>IF(H55="Enter Test Margin %","",H56/'2. Roles &amp; Pricing'!M289)</f>
        <v/>
      </c>
      <c r="I57" s="1234" t="str">
        <f>IF(I55="Enter Test Margin %","",I56/'2. Roles &amp; Pricing'!N289)</f>
        <v/>
      </c>
    </row>
    <row r="59" spans="2:9" ht="17.5" x14ac:dyDescent="0.3">
      <c r="B59" s="857" t="s">
        <v>2329</v>
      </c>
      <c r="C59" s="475"/>
      <c r="D59" s="475"/>
      <c r="E59" s="475"/>
      <c r="F59" s="475"/>
      <c r="G59" s="475"/>
      <c r="H59" s="475"/>
    </row>
    <row r="60" spans="2:9" x14ac:dyDescent="0.3">
      <c r="B60" s="1749" t="s">
        <v>3308</v>
      </c>
      <c r="C60" s="1749"/>
      <c r="D60" s="1749"/>
      <c r="E60" s="1749"/>
      <c r="F60" s="1749"/>
      <c r="G60" s="1749"/>
      <c r="H60" s="1749"/>
    </row>
    <row r="61" spans="2:9" x14ac:dyDescent="0.3">
      <c r="B61" s="1685" t="s">
        <v>2330</v>
      </c>
      <c r="C61" s="1685"/>
      <c r="D61" s="1685"/>
      <c r="E61" s="1685"/>
      <c r="F61" s="1685"/>
      <c r="G61" s="1685"/>
    </row>
    <row r="62" spans="2:9" ht="15" customHeight="1" x14ac:dyDescent="0.3">
      <c r="B62" s="1216"/>
      <c r="C62" s="1213"/>
      <c r="D62" s="1213"/>
      <c r="E62" s="1213"/>
      <c r="F62" s="1213"/>
      <c r="G62" s="1213"/>
    </row>
    <row r="63" spans="2:9" x14ac:dyDescent="0.3">
      <c r="B63" s="1751" t="s">
        <v>2181</v>
      </c>
      <c r="C63" s="1752"/>
    </row>
    <row r="64" spans="2:9" x14ac:dyDescent="0.3">
      <c r="B64" s="946" t="s">
        <v>109</v>
      </c>
      <c r="C64" s="947">
        <f>'2. Roles &amp; Pricing'!D289</f>
        <v>766000</v>
      </c>
    </row>
    <row r="65" spans="2:8" x14ac:dyDescent="0.3">
      <c r="B65" s="948" t="s">
        <v>1466</v>
      </c>
      <c r="C65" s="949">
        <v>0.08</v>
      </c>
    </row>
    <row r="66" spans="2:8" x14ac:dyDescent="0.3">
      <c r="B66" s="1142" t="s">
        <v>1467</v>
      </c>
      <c r="C66" s="1143" t="s">
        <v>2170</v>
      </c>
    </row>
    <row r="67" spans="2:8" x14ac:dyDescent="0.3">
      <c r="B67" s="1464" t="s">
        <v>1468</v>
      </c>
      <c r="C67" s="1144">
        <f>IFERROR(IF(C65="Enter Discount %",C66,(C64*C65)),"")</f>
        <v>61280</v>
      </c>
    </row>
    <row r="69" spans="2:8" ht="17.5" x14ac:dyDescent="0.3">
      <c r="B69" s="859" t="s">
        <v>2332</v>
      </c>
      <c r="C69" s="563"/>
      <c r="D69" s="403"/>
      <c r="E69" s="564"/>
      <c r="F69" s="564"/>
      <c r="G69" s="564"/>
      <c r="H69" s="565"/>
    </row>
    <row r="70" spans="2:8" ht="29" customHeight="1" x14ac:dyDescent="0.3">
      <c r="B70" s="1750" t="s">
        <v>2378</v>
      </c>
      <c r="C70" s="1750"/>
      <c r="D70" s="1750"/>
      <c r="E70" s="1750"/>
      <c r="F70" s="1750"/>
      <c r="G70" s="1750"/>
      <c r="H70" s="1750"/>
    </row>
    <row r="71" spans="2:8" ht="15" customHeight="1" x14ac:dyDescent="0.3">
      <c r="B71" s="1216"/>
      <c r="C71" s="1213"/>
      <c r="D71" s="1213"/>
      <c r="E71" s="1213"/>
      <c r="F71" s="1213"/>
      <c r="G71" s="1213"/>
    </row>
    <row r="72" spans="2:8" x14ac:dyDescent="0.3">
      <c r="B72" s="1741" t="s">
        <v>2290</v>
      </c>
      <c r="C72" s="1742"/>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743">
        <f>SUMIFS($C$73:$C$76,$D$73:$D$76,"Yes")</f>
        <v>1500</v>
      </c>
      <c r="D77" s="1744"/>
    </row>
    <row r="78" spans="2:8" x14ac:dyDescent="0.3">
      <c r="B78" s="1530" t="s">
        <v>3313</v>
      </c>
      <c r="C78" s="1745">
        <f>SUMIFS($C$73:$C$76,$D$73:$D$76,"No")</f>
        <v>2000</v>
      </c>
      <c r="D78" s="1746"/>
    </row>
    <row r="79" spans="2:8" x14ac:dyDescent="0.3">
      <c r="B79" s="566"/>
      <c r="C79" s="567"/>
      <c r="D79" s="568"/>
    </row>
    <row r="80" spans="2:8" ht="17.5" x14ac:dyDescent="0.3">
      <c r="B80" s="859" t="s">
        <v>3225</v>
      </c>
      <c r="C80" s="1465"/>
      <c r="D80" s="563"/>
      <c r="E80" s="564"/>
      <c r="F80" s="564"/>
      <c r="G80" s="564"/>
    </row>
    <row r="81" spans="2:8" x14ac:dyDescent="0.3">
      <c r="B81" s="1750" t="s">
        <v>3309</v>
      </c>
      <c r="C81" s="1750"/>
      <c r="D81" s="1750"/>
      <c r="E81" s="1750"/>
      <c r="F81" s="1750"/>
      <c r="G81" s="1750"/>
      <c r="H81" s="1750"/>
    </row>
    <row r="82" spans="2:8" x14ac:dyDescent="0.3">
      <c r="B82" s="1686" t="s">
        <v>3310</v>
      </c>
      <c r="C82" s="1686"/>
      <c r="D82" s="1686"/>
      <c r="E82" s="1686"/>
      <c r="F82" s="1686"/>
      <c r="G82" s="1686"/>
    </row>
    <row r="83" spans="2:8" ht="15" customHeight="1" x14ac:dyDescent="0.3">
      <c r="B83" s="1216"/>
      <c r="C83" s="1213"/>
      <c r="D83" s="1213"/>
      <c r="E83" s="1213"/>
      <c r="F83" s="1213"/>
      <c r="G83" s="1213"/>
    </row>
    <row r="84" spans="2:8" x14ac:dyDescent="0.3">
      <c r="B84" s="1747" t="s">
        <v>221</v>
      </c>
      <c r="C84" s="1748"/>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750" t="s">
        <v>2335</v>
      </c>
      <c r="C91" s="1750"/>
      <c r="D91" s="1750"/>
      <c r="E91" s="1750"/>
      <c r="F91" s="1750"/>
      <c r="G91" s="1750"/>
      <c r="H91" s="1750"/>
    </row>
    <row r="92" spans="2:8" x14ac:dyDescent="0.3">
      <c r="B92" s="1686" t="s">
        <v>2334</v>
      </c>
      <c r="C92" s="1686"/>
      <c r="D92" s="1686"/>
      <c r="E92" s="1686"/>
      <c r="F92" s="1686"/>
      <c r="G92" s="1686"/>
    </row>
    <row r="93" spans="2:8" ht="15" customHeight="1" x14ac:dyDescent="0.3">
      <c r="B93" s="1216"/>
      <c r="C93" s="1213"/>
      <c r="D93" s="1213"/>
      <c r="E93" s="1213"/>
      <c r="F93" s="1213"/>
      <c r="G93" s="1213"/>
    </row>
    <row r="94" spans="2:8" x14ac:dyDescent="0.3">
      <c r="B94" s="1739" t="s">
        <v>214</v>
      </c>
      <c r="C94" s="1740"/>
    </row>
    <row r="95" spans="2:8" x14ac:dyDescent="0.3">
      <c r="B95" s="1735" t="s">
        <v>2169</v>
      </c>
      <c r="C95" s="1736"/>
    </row>
    <row r="96" spans="2:8" x14ac:dyDescent="0.3">
      <c r="B96" s="1737" t="s">
        <v>2169</v>
      </c>
      <c r="C96" s="1738"/>
    </row>
    <row r="97" spans="2:7" x14ac:dyDescent="0.3">
      <c r="B97" s="1737"/>
      <c r="C97" s="1738"/>
    </row>
    <row r="98" spans="2:7" x14ac:dyDescent="0.3">
      <c r="B98" s="1737"/>
      <c r="C98" s="1738"/>
    </row>
    <row r="99" spans="2:7" x14ac:dyDescent="0.3">
      <c r="B99" s="1737"/>
      <c r="C99" s="1738"/>
    </row>
    <row r="100" spans="2:7" x14ac:dyDescent="0.3">
      <c r="B100" s="1737"/>
      <c r="C100" s="1738"/>
    </row>
    <row r="101" spans="2:7" x14ac:dyDescent="0.3">
      <c r="B101" s="1737"/>
      <c r="C101" s="1738"/>
    </row>
    <row r="102" spans="2:7" x14ac:dyDescent="0.3">
      <c r="B102" s="1758"/>
      <c r="C102" s="1759"/>
    </row>
    <row r="107" spans="2:7" x14ac:dyDescent="0.3">
      <c r="B107" s="1686"/>
      <c r="C107" s="1686"/>
      <c r="D107" s="1686"/>
      <c r="E107" s="1686"/>
      <c r="F107" s="1686"/>
      <c r="G107" s="1686"/>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142" priority="16">
      <formula>$O$1="Canada"</formula>
    </cfRule>
    <cfRule type="expression" dxfId="141" priority="17">
      <formula>$O$1="India"</formula>
    </cfRule>
    <cfRule type="expression" dxfId="140" priority="18">
      <formula>$O$1="US"</formula>
    </cfRule>
    <cfRule type="expression" dxfId="139" priority="19">
      <formula>$O$1="UK"</formula>
    </cfRule>
  </conditionalFormatting>
  <conditionalFormatting sqref="C85:C88">
    <cfRule type="expression" dxfId="138" priority="2">
      <formula>$O$1="Canada"</formula>
    </cfRule>
    <cfRule type="expression" dxfId="137" priority="3">
      <formula>$O$1="India"</formula>
    </cfRule>
    <cfRule type="expression" dxfId="136" priority="4">
      <formula>$O$1="US"</formula>
    </cfRule>
    <cfRule type="expression" dxfId="135" priority="5">
      <formula>$O$1="UK"</formula>
    </cfRule>
  </conditionalFormatting>
  <conditionalFormatting sqref="D52">
    <cfRule type="cellIs" dxfId="134" priority="1" operator="greaterThan">
      <formula>-0.05</formula>
    </cfRule>
    <cfRule type="cellIs" dxfId="133"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tabSelected="1" zoomScaleNormal="100" workbookViewId="0">
      <pane ySplit="4" topLeftCell="A41"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697"/>
      <c r="K1" s="1697"/>
      <c r="L1" s="1697"/>
    </row>
    <row r="2" spans="2:20" s="469" customFormat="1" ht="25.5" x14ac:dyDescent="0.3">
      <c r="B2" s="1765" t="s">
        <v>3196</v>
      </c>
      <c r="C2" s="1765"/>
      <c r="E2" s="622" t="s">
        <v>2241</v>
      </c>
      <c r="F2" s="738"/>
      <c r="G2" s="738"/>
      <c r="H2" s="738"/>
      <c r="K2" s="471"/>
      <c r="L2" s="471"/>
    </row>
    <row r="3" spans="2:20" s="469" customFormat="1" ht="28"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767" t="s">
        <v>3282</v>
      </c>
      <c r="C7" s="1767"/>
      <c r="D7" s="1767"/>
      <c r="E7" s="1767"/>
      <c r="F7" s="1767"/>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768" t="s">
        <v>2379</v>
      </c>
      <c r="C10" s="1768"/>
      <c r="D10" s="1768"/>
      <c r="E10" s="1768"/>
      <c r="F10" s="1768"/>
      <c r="H10" s="579"/>
    </row>
    <row r="11" spans="2:20" ht="17" customHeight="1" x14ac:dyDescent="0.3">
      <c r="B11" s="1632" t="s">
        <v>2199</v>
      </c>
      <c r="C11" s="1633"/>
      <c r="D11" s="480"/>
      <c r="E11" s="1766"/>
      <c r="F11" s="1766"/>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766"/>
      <c r="F15" s="1766"/>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Test Digital Project</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768" t="s">
        <v>2337</v>
      </c>
      <c r="C32" s="1768"/>
      <c r="D32" s="1768"/>
      <c r="E32" s="1768"/>
      <c r="F32" s="1768"/>
      <c r="H32" s="579"/>
    </row>
    <row r="33" spans="2:20" x14ac:dyDescent="0.3">
      <c r="B33" s="1768" t="s">
        <v>3300</v>
      </c>
      <c r="C33" s="1768"/>
      <c r="D33" s="1768"/>
      <c r="E33" s="1768"/>
      <c r="F33" s="1768"/>
      <c r="G33" s="413"/>
      <c r="S33" s="581"/>
      <c r="T33" s="596"/>
    </row>
    <row r="34" spans="2:20" ht="17.5" x14ac:dyDescent="0.3">
      <c r="B34" s="1235"/>
      <c r="C34" s="599"/>
      <c r="D34" s="413"/>
      <c r="E34" s="594"/>
      <c r="F34" s="594"/>
      <c r="G34" s="413"/>
      <c r="S34" s="581"/>
      <c r="T34" s="596"/>
    </row>
    <row r="35" spans="2:20" x14ac:dyDescent="0.3">
      <c r="B35" s="1632" t="s">
        <v>3209</v>
      </c>
      <c r="C35" s="1633"/>
      <c r="D35" s="413"/>
      <c r="E35" s="594"/>
      <c r="F35" s="594"/>
      <c r="G35" s="413"/>
      <c r="S35" s="581"/>
      <c r="T35" s="596"/>
    </row>
    <row r="36" spans="2:20" x14ac:dyDescent="0.3">
      <c r="B36" s="964" t="s">
        <v>2080</v>
      </c>
      <c r="C36" s="1407">
        <f>C61</f>
        <v>787521</v>
      </c>
      <c r="D36" s="413"/>
      <c r="E36" s="594"/>
      <c r="F36" s="594"/>
      <c r="G36" s="413"/>
      <c r="S36" s="581"/>
      <c r="T36" s="596"/>
    </row>
    <row r="37" spans="2:20" x14ac:dyDescent="0.3">
      <c r="B37" s="963" t="s">
        <v>3227</v>
      </c>
      <c r="C37" s="1408">
        <f>C53</f>
        <v>0.53970619544390042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768" t="s">
        <v>3186</v>
      </c>
      <c r="C40" s="1768"/>
      <c r="D40" s="1768"/>
      <c r="E40" s="1768"/>
      <c r="F40" s="1768"/>
      <c r="H40" s="579"/>
    </row>
    <row r="41" spans="2:20" x14ac:dyDescent="0.3">
      <c r="B41" s="1768" t="s">
        <v>3283</v>
      </c>
      <c r="C41" s="1768"/>
      <c r="D41" s="1768"/>
      <c r="E41" s="1768"/>
      <c r="F41" s="1768"/>
      <c r="G41" s="413"/>
      <c r="S41" s="581"/>
      <c r="T41" s="596"/>
    </row>
    <row r="42" spans="2:20" ht="30" customHeight="1" x14ac:dyDescent="0.3">
      <c r="B42" s="1724" t="s">
        <v>3194</v>
      </c>
      <c r="C42" s="1724"/>
      <c r="D42" s="1724"/>
      <c r="E42" s="1724"/>
      <c r="F42" s="1724"/>
      <c r="G42" s="413"/>
      <c r="S42" s="581"/>
      <c r="T42" s="596"/>
    </row>
    <row r="43" spans="2:20" ht="17.5" x14ac:dyDescent="0.3">
      <c r="B43" s="1235"/>
      <c r="C43" s="599"/>
      <c r="D43" s="413"/>
      <c r="E43" s="594"/>
      <c r="F43" s="594"/>
      <c r="G43" s="413"/>
      <c r="S43" s="581"/>
      <c r="T43" s="596"/>
    </row>
    <row r="44" spans="2:20" x14ac:dyDescent="0.3">
      <c r="B44" s="1632" t="s">
        <v>3210</v>
      </c>
      <c r="C44" s="1633"/>
      <c r="D44" s="413"/>
      <c r="E44" s="594"/>
      <c r="F44" s="594"/>
      <c r="G44" s="413"/>
      <c r="S44" s="581"/>
      <c r="T44" s="596"/>
    </row>
    <row r="45" spans="2:20" x14ac:dyDescent="0.3">
      <c r="B45" s="964" t="s">
        <v>2087</v>
      </c>
      <c r="C45" s="1409">
        <f>IF(OR(C23="T&amp;M",C23="T&amp;M NTE"),C60,C61)</f>
        <v>787521</v>
      </c>
      <c r="D45" s="413"/>
      <c r="E45" s="594"/>
      <c r="F45" s="594"/>
      <c r="G45" s="413"/>
      <c r="S45" s="581"/>
      <c r="T45" s="596"/>
    </row>
    <row r="46" spans="2:20" x14ac:dyDescent="0.3">
      <c r="B46" s="961" t="s">
        <v>2088</v>
      </c>
      <c r="C46" s="1410">
        <f>COUNTA('2. Roles &amp; Pricing'!K48:K147)</f>
        <v>6</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Pricing'!D160:BC160)</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02" t="s">
        <v>2309</v>
      </c>
      <c r="C51" s="1702"/>
      <c r="D51" s="1702"/>
      <c r="E51" s="1702"/>
      <c r="F51" s="1702"/>
    </row>
    <row r="52" spans="2:20" ht="20" customHeight="1" x14ac:dyDescent="0.3">
      <c r="B52" s="1632" t="s">
        <v>3394</v>
      </c>
      <c r="C52" s="1633"/>
      <c r="E52" s="413"/>
      <c r="J52" s="492"/>
      <c r="K52" s="600"/>
      <c r="L52" s="492"/>
    </row>
    <row r="53" spans="2:20" x14ac:dyDescent="0.3">
      <c r="B53" s="1240" t="s">
        <v>1673</v>
      </c>
      <c r="C53" s="1412">
        <f>IFERROR((C72-C79)/C72,"")</f>
        <v>0.53970619544390042</v>
      </c>
      <c r="E53" s="413"/>
      <c r="J53" s="495"/>
      <c r="K53" s="601"/>
      <c r="L53" s="496"/>
    </row>
    <row r="54" spans="2:20" x14ac:dyDescent="0.3">
      <c r="B54" s="867" t="s">
        <v>111</v>
      </c>
      <c r="C54" s="1413">
        <f>IFERROR('2. Roles &amp; Pricing'!$D$289/'2. Roles &amp; Pricing'!M289,"")</f>
        <v>110.37463976945244</v>
      </c>
      <c r="E54" s="413"/>
      <c r="J54" s="495"/>
      <c r="K54" s="601"/>
      <c r="L54" s="496"/>
    </row>
    <row r="55" spans="2:20" x14ac:dyDescent="0.3">
      <c r="B55" s="1239" t="s">
        <v>2093</v>
      </c>
      <c r="C55" s="1414">
        <f>IFERROR(($C$71+$C$67*(1+C56)),"Enter Contingency % on Summary Inputs")</f>
        <v>811300</v>
      </c>
      <c r="E55" s="602"/>
      <c r="J55" s="495"/>
      <c r="K55" s="601"/>
      <c r="L55" s="496"/>
      <c r="T55" s="603"/>
    </row>
    <row r="56" spans="2:20" ht="14" customHeight="1" x14ac:dyDescent="0.3">
      <c r="B56" s="1567" t="s">
        <v>2079</v>
      </c>
      <c r="C56" s="1778">
        <f>'3. Financial Inputs'!C17</f>
        <v>0.05</v>
      </c>
      <c r="E56" s="484"/>
      <c r="J56" s="495"/>
      <c r="K56" s="601"/>
      <c r="L56" s="496"/>
    </row>
    <row r="57" spans="2:20" ht="14" customHeight="1" x14ac:dyDescent="0.3">
      <c r="B57" s="1568" t="s">
        <v>3414</v>
      </c>
      <c r="C57" s="1779"/>
      <c r="E57" s="484"/>
      <c r="J57" s="495"/>
      <c r="K57" s="601"/>
      <c r="L57" s="496"/>
    </row>
    <row r="58" spans="2:20" ht="14" customHeight="1" x14ac:dyDescent="0.3">
      <c r="B58" s="965" t="s">
        <v>1468</v>
      </c>
      <c r="C58" s="1415">
        <f>IF('3. Financial Inputs'!C67="",0,'3. Financial Inputs'!C67)</f>
        <v>61280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750020</v>
      </c>
      <c r="E60" s="484"/>
      <c r="J60" s="495"/>
      <c r="K60" s="601"/>
      <c r="L60" s="496"/>
      <c r="T60" s="605"/>
    </row>
    <row r="61" spans="2:20" x14ac:dyDescent="0.3">
      <c r="B61" s="1238" t="s">
        <v>2081</v>
      </c>
      <c r="C61" s="1540">
        <f>IFERROR(C60*(1+C56),"Incomplete Project Information")</f>
        <v>787521</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777" t="s">
        <v>3195</v>
      </c>
      <c r="C65" s="1777"/>
      <c r="D65" s="1542"/>
      <c r="E65" s="1542"/>
      <c r="F65" s="1542"/>
      <c r="J65" s="495"/>
      <c r="K65" s="601"/>
      <c r="L65" s="496"/>
      <c r="T65" s="605"/>
    </row>
    <row r="66" spans="2:20" ht="18" customHeight="1" x14ac:dyDescent="0.3">
      <c r="B66" s="1634" t="s">
        <v>3395</v>
      </c>
      <c r="C66" s="1635"/>
      <c r="D66" s="413"/>
      <c r="E66" s="413"/>
      <c r="J66" s="495"/>
      <c r="K66" s="601"/>
      <c r="L66" s="496"/>
      <c r="T66" s="605"/>
    </row>
    <row r="67" spans="2:20" ht="18" customHeight="1" x14ac:dyDescent="0.3">
      <c r="B67" s="966" t="s">
        <v>3320</v>
      </c>
      <c r="C67" s="1417">
        <f>IFERROR('2. Roles &amp; Pricing'!D289,0)</f>
        <v>766000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38300</v>
      </c>
      <c r="D69" s="413"/>
      <c r="E69" s="413"/>
      <c r="J69" s="495"/>
      <c r="K69" s="601"/>
      <c r="L69" s="496"/>
      <c r="T69" s="605"/>
    </row>
    <row r="70" spans="2:20" ht="18" customHeight="1" x14ac:dyDescent="0.3">
      <c r="B70" s="969" t="s">
        <v>1468</v>
      </c>
      <c r="C70" s="1420">
        <f>-1*'3. Financial Inputs'!C67</f>
        <v>-61280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751520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777" t="s">
        <v>3195</v>
      </c>
      <c r="C75" s="1777"/>
      <c r="D75" s="1542"/>
      <c r="E75" s="1542"/>
      <c r="F75" s="1542"/>
      <c r="J75" s="495"/>
      <c r="K75" s="601"/>
      <c r="L75" s="496"/>
    </row>
    <row r="76" spans="2:20" x14ac:dyDescent="0.3">
      <c r="B76" s="1634" t="s">
        <v>3316</v>
      </c>
      <c r="C76" s="1635"/>
      <c r="D76" s="413"/>
      <c r="E76" s="413"/>
      <c r="J76" s="495"/>
      <c r="K76" s="601"/>
      <c r="L76" s="496"/>
    </row>
    <row r="77" spans="2:20" x14ac:dyDescent="0.3">
      <c r="B77" s="967" t="s">
        <v>239</v>
      </c>
      <c r="C77" s="1418">
        <f>SUM('2. Roles &amp; Pricing'!$F$291:$F$390)</f>
        <v>343920</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345920</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776"/>
      <c r="C83" s="1776"/>
      <c r="D83" s="1776"/>
      <c r="E83" s="1776"/>
      <c r="F83" s="1776"/>
      <c r="L83" s="412"/>
    </row>
    <row r="84" spans="2:12" x14ac:dyDescent="0.3">
      <c r="B84" s="1769" t="s">
        <v>188</v>
      </c>
      <c r="C84" s="1770"/>
      <c r="E84" s="429"/>
      <c r="L84" s="412"/>
    </row>
    <row r="85" spans="2:12" x14ac:dyDescent="0.3">
      <c r="B85" s="1148" t="s">
        <v>190</v>
      </c>
      <c r="C85" s="1463">
        <f>IFERROR((SUMIF('2. Roles &amp; Pricing'!W48:W147,"Offshore",'2. Roles &amp; Pricing'!D291:D390))/SUMIF('2. Roles &amp; Pricing'!W48:W147,"Offshore",'2. Roles &amp; Pricing'!M291:M390),"")</f>
        <v>48.684210526315788</v>
      </c>
      <c r="E85" s="429"/>
      <c r="L85" s="412"/>
    </row>
    <row r="86" spans="2:12" x14ac:dyDescent="0.3">
      <c r="B86" s="1149" t="s">
        <v>191</v>
      </c>
      <c r="C86" s="1422">
        <f>IFERROR((SUMIF('2. Roles &amp; Pricing'!W48:W147,"Onshore",'2. Roles &amp; Pricing'!D291:D390))/SUMIF('2. Roles &amp; Pricing'!W48:W147,"Onshore",'2. Roles &amp; Pricing'!M291:M390),"")</f>
        <v>171.66666666666666</v>
      </c>
      <c r="E86" s="429"/>
      <c r="L86" s="412"/>
    </row>
    <row r="87" spans="2:12" x14ac:dyDescent="0.3">
      <c r="B87" s="1149" t="s">
        <v>192</v>
      </c>
      <c r="C87" s="1423">
        <f>IFERROR((COUNTIF('2. Roles &amp; Pricing'!W48:W147,"Offshore")/SUM(COUNTIF('2. Roles &amp; Pricing'!W48:W147,"Onshore"),COUNTIF('2. Roles &amp; Pricing'!W48:W147,"Offshore"))),"")</f>
        <v>0.5</v>
      </c>
      <c r="E87" s="429"/>
      <c r="L87" s="412"/>
    </row>
    <row r="88" spans="2:12" x14ac:dyDescent="0.3">
      <c r="B88" s="1149" t="s">
        <v>111</v>
      </c>
      <c r="C88" s="1422">
        <f>IFERROR('2. Roles &amp; Pricing'!D289/'2. Roles &amp; Pricing'!M289,"")</f>
        <v>110.37463976945244</v>
      </c>
      <c r="E88" s="429"/>
      <c r="L88" s="412"/>
    </row>
    <row r="89" spans="2:12" x14ac:dyDescent="0.3">
      <c r="B89" s="1149" t="s">
        <v>194</v>
      </c>
      <c r="C89" s="1424">
        <f>COUNTIF('2. Roles &amp; Pricing'!$Y48:$Y147,"&gt;=21")</f>
        <v>6</v>
      </c>
      <c r="E89" s="429"/>
      <c r="L89" s="412"/>
    </row>
    <row r="90" spans="2:12" x14ac:dyDescent="0.3">
      <c r="B90" s="1149" t="s">
        <v>195</v>
      </c>
      <c r="C90" s="1424">
        <f>COUNTIFS('2. Roles &amp; Pricing'!Y48:Y147,"&lt;=20")</f>
        <v>1</v>
      </c>
      <c r="E90" s="429"/>
      <c r="L90" s="412"/>
    </row>
    <row r="91" spans="2:12" x14ac:dyDescent="0.3">
      <c r="B91" s="1149" t="s">
        <v>196</v>
      </c>
      <c r="C91" s="1425">
        <f>'2. Roles &amp; Pricing'!M289</f>
        <v>6940</v>
      </c>
      <c r="E91" s="429"/>
      <c r="L91" s="412"/>
    </row>
    <row r="92" spans="2:12" x14ac:dyDescent="0.3">
      <c r="B92" s="1150" t="s">
        <v>197</v>
      </c>
      <c r="C92" s="1426">
        <f>IFERROR(SUM(SUMIFS('2. Roles &amp; Pricing'!M291:M390,'2. Roles &amp; Pricing'!V48:V147,"7"),SUMIFS('2. Roles &amp; Pricing'!M291:M390,'2. Roles &amp; Pricing'!V48:V147,"6"))/('2. Roles &amp; Pricing'!M289),"")</f>
        <v>0</v>
      </c>
      <c r="E92" s="429"/>
      <c r="L92" s="412"/>
    </row>
    <row r="93" spans="2:12" x14ac:dyDescent="0.3">
      <c r="B93" s="1121" t="s">
        <v>198</v>
      </c>
      <c r="C93" s="1427">
        <f>COUNTA('2. Roles &amp; Pricing'!K48:K147)</f>
        <v>6</v>
      </c>
      <c r="E93" s="429"/>
      <c r="L93" s="412"/>
    </row>
    <row r="94" spans="2:12" x14ac:dyDescent="0.3">
      <c r="E94" s="429"/>
      <c r="L94" s="412"/>
    </row>
    <row r="95" spans="2:12" x14ac:dyDescent="0.3">
      <c r="E95" s="429"/>
      <c r="L95" s="412"/>
    </row>
    <row r="96" spans="2:12" x14ac:dyDescent="0.3">
      <c r="B96" s="1634" t="s">
        <v>199</v>
      </c>
      <c r="C96" s="1775"/>
      <c r="D96" s="1775"/>
      <c r="E96" s="1775"/>
      <c r="F96" s="1635"/>
      <c r="H96" s="1774"/>
      <c r="I96" s="1774"/>
      <c r="J96" s="1774"/>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Pricing'!$C$48:$C$147,"CrederaUS",'2. Roles &amp; Pricing'!$M$291:$M$390)</f>
        <v>0</v>
      </c>
      <c r="D98" s="1429">
        <f>IFERROR(C98/'2. Roles &amp; Pricing'!$M$289,"")</f>
        <v>0</v>
      </c>
      <c r="E98" s="1430">
        <f>SUMIF('2. Roles &amp; Pricing'!$C$48:$C$147,"CrederaUS",'2. Roles &amp; Pricing'!$D$291:$D$390)</f>
        <v>0</v>
      </c>
      <c r="F98" s="1431">
        <f>IFERROR(E98/'2. Roles &amp; Pricing'!$D$289,"No Entity Revenue")</f>
        <v>0</v>
      </c>
      <c r="H98" s="458"/>
      <c r="I98" s="496"/>
      <c r="J98" s="508"/>
    </row>
    <row r="99" spans="2:10" x14ac:dyDescent="0.3">
      <c r="B99" s="1152" t="s">
        <v>204</v>
      </c>
      <c r="C99" s="1432">
        <f>SUMIFS('2. Roles &amp; Pricing'!$M$291:$M$390,'2. Roles &amp; Pricing'!$C$48:$C$147,"TADIndia")+SUMIFS('2. Roles &amp; Pricing'!$M$291:$M$390,'2. Roles &amp; Pricing'!$C$48:$C$147,"TADNorthAmerica")</f>
        <v>6640</v>
      </c>
      <c r="D99" s="1429">
        <f>IFERROR(C99/'2. Roles &amp; Pricing'!$M$289,"")</f>
        <v>0.95677233429394815</v>
      </c>
      <c r="E99" s="1433">
        <f>SUMIF('2. Roles &amp; Pricing'!$C$48:$C$147,"TADIndia",'2. Roles &amp; Pricing'!$D$291:$D$390)+SUMIF('2. Roles &amp; Pricing'!$C$48:$C$147,"TADNorthAmerica",'2. Roles &amp; Pricing'!$D$291:$D$390)</f>
        <v>766000</v>
      </c>
      <c r="F99" s="1434">
        <f>IFERROR(E99/'2. Roles &amp; Pricing'!$D$289,"No Entity Revenue")</f>
        <v>1</v>
      </c>
      <c r="H99" s="458"/>
      <c r="I99" s="496"/>
      <c r="J99" s="508"/>
    </row>
    <row r="100" spans="2:10" hidden="1" x14ac:dyDescent="0.3">
      <c r="B100" s="1152" t="s">
        <v>205</v>
      </c>
      <c r="C100" s="1432">
        <f>SUMIF('2. Roles &amp; Pricing'!$C$48:$C$147,"BrightGen",'2. Roles &amp; Pricing'!$M$291:$M$390)</f>
        <v>0</v>
      </c>
      <c r="D100" s="1429">
        <f>IFERROR(C100/'2. Roles &amp; Pricing'!$M$289,"")</f>
        <v>0</v>
      </c>
      <c r="E100" s="1433">
        <f>SUMIF('2. Roles &amp; Pricing'!$C$48:$C$147,"BrightGen",'2. Roles &amp; Pricing'!$D$291:$D$390)</f>
        <v>0</v>
      </c>
      <c r="F100" s="1434">
        <f>IFERROR(E100/'2. Roles &amp; Pricing'!$D$289,"No Entity Revenue")</f>
        <v>0</v>
      </c>
      <c r="H100" s="458"/>
      <c r="I100" s="496"/>
      <c r="J100" s="508"/>
    </row>
    <row r="101" spans="2:10" hidden="1" x14ac:dyDescent="0.3">
      <c r="B101" s="1153" t="s">
        <v>206</v>
      </c>
      <c r="C101" s="1432">
        <f>SUMIF('2. Roles &amp; Pricing'!$C$48:$C$147,"CrederaUK",'2. Roles &amp; Pricing'!$M$291:$M$390)</f>
        <v>0</v>
      </c>
      <c r="D101" s="1429">
        <f>IFERROR(C101/'2. Roles &amp; Pricing'!$M$289,"")</f>
        <v>0</v>
      </c>
      <c r="E101" s="1433">
        <f>SUMIF('2. Roles &amp; Pricing'!$C$48:$C$147,"CrederaUK",'2. Roles &amp; Pricing'!$D$291:$D$390)</f>
        <v>0</v>
      </c>
      <c r="F101" s="1434">
        <f>IFERROR(E101/'2. Roles &amp; Pricing'!$D$289,"No Entity Revenue")</f>
        <v>0</v>
      </c>
      <c r="H101" s="458"/>
      <c r="I101" s="496"/>
      <c r="J101" s="508"/>
    </row>
    <row r="102" spans="2:10" hidden="1" x14ac:dyDescent="0.3">
      <c r="B102" s="1153" t="s">
        <v>207</v>
      </c>
      <c r="C102" s="1432">
        <f>SUMIF('2. Roles &amp; Pricing'!$C$48:$C$147,"SmartDigital",'2. Roles &amp; Pricing'!$M$291:$M$390)</f>
        <v>0</v>
      </c>
      <c r="D102" s="1429">
        <f>IFERROR(C102/'2. Roles &amp; Pricing'!$M$289,"")</f>
        <v>0</v>
      </c>
      <c r="E102" s="1433">
        <f>SUMIF('2. Roles &amp; Pricing'!$C$48:$C$147,"SmartDigital",'2. Roles &amp; Pricing'!$D$291:$D$390)</f>
        <v>0</v>
      </c>
      <c r="F102" s="1434">
        <f>IFERROR(E102/'2. Roles &amp; Pricing'!$D$289,"No Entity Revenue")</f>
        <v>0</v>
      </c>
      <c r="H102" s="458"/>
      <c r="I102" s="496"/>
      <c r="J102" s="508"/>
    </row>
    <row r="103" spans="2:10" x14ac:dyDescent="0.3">
      <c r="B103" s="1154" t="s">
        <v>208</v>
      </c>
      <c r="C103" s="1435">
        <f>SUMIFS('2. Roles &amp; Pricing'!$M$291:$M$390,'2. Roles &amp; Pricing'!$C$48:$C$147,"CrederaIndia")+SUMIFS('2. Roles &amp; Pricing'!$M$291:$M$390,'2. Roles &amp; Pricing'!$C$48:$C$147,"CrederaLATAM")</f>
        <v>0</v>
      </c>
      <c r="D103" s="1429">
        <f>IFERROR(C103/'2. Roles &amp; Pricing'!$M$289,"")</f>
        <v>0</v>
      </c>
      <c r="E103" s="1433">
        <f>SUMIF('2. Roles &amp; Pricing'!$C$48:$C$147,"CrederaLATAM",'2. Roles &amp; Pricing'!$D$291:$D$390)+SUMIF('2. Roles &amp; Pricing'!$C$48:$C$147,"CrederaIndia",'2. Roles &amp; Pricing'!$D$291:$D$390)</f>
        <v>0</v>
      </c>
      <c r="F103" s="1434">
        <f>IFERROR(E103/'2. Roles &amp; Pricing'!$D$289,"No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Pricing'!$C$48:$C$147,"Areteans",'2. Roles &amp; Pricing'!$AG$48:$AG$147)</f>
        <v>0</v>
      </c>
      <c r="D105" s="1441" t="str">
        <f>IFERROR(C105/'2. Roles &amp; Pricing'!#REF!,"")</f>
        <v/>
      </c>
      <c r="E105" s="1442">
        <f>SUMIF('2. Roles &amp; Pricing'!$C$48:$C$147,"Areteans",'2. Roles &amp; Pricing'!$D$291:$D$390)</f>
        <v>0</v>
      </c>
      <c r="F105" s="1443">
        <f>IFERROR(E105/'2. Roles &amp; Pricing'!$D$289,"")</f>
        <v>0</v>
      </c>
      <c r="H105" s="458"/>
      <c r="I105" s="496"/>
      <c r="J105" s="508"/>
    </row>
    <row r="106" spans="2:10" x14ac:dyDescent="0.3">
      <c r="B106" s="609"/>
      <c r="C106" s="610"/>
      <c r="D106" s="611"/>
      <c r="E106" s="612"/>
      <c r="F106" s="613"/>
      <c r="H106" s="458"/>
      <c r="I106" s="496"/>
      <c r="J106" s="508"/>
    </row>
    <row r="107" spans="2:10" x14ac:dyDescent="0.3">
      <c r="B107" s="1771" t="s">
        <v>226</v>
      </c>
      <c r="C107" s="1772"/>
      <c r="D107" s="1773"/>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f>IFERROR(SUMIF('2. Roles &amp; Pricing'!$N$48:$N$147,0,'2. Roles &amp; Pricing'!$M$291:$M$390),"")</f>
        <v>300</v>
      </c>
      <c r="D109" s="1445">
        <f>IFERROR(C109/'2. Roles &amp; Pricing'!$M$289,"")</f>
        <v>4.3227665706051875E-2</v>
      </c>
      <c r="E109" s="612"/>
      <c r="F109" s="613"/>
      <c r="H109" s="458"/>
      <c r="I109" s="496"/>
      <c r="J109" s="508"/>
    </row>
    <row r="110" spans="2:10" x14ac:dyDescent="0.3">
      <c r="B110" s="978" t="s">
        <v>229</v>
      </c>
      <c r="C110" s="1446">
        <f>IFERROR(SUMIF('2. Roles &amp; Pricing'!$N$48:$N$147,1,'2. Roles &amp; Pricing'!$M$291:$M$390),"")</f>
        <v>0</v>
      </c>
      <c r="D110" s="1447">
        <f>IFERROR(C110/'2. Roles &amp; Pricing'!$M$289,"")</f>
        <v>0</v>
      </c>
      <c r="E110" s="612"/>
      <c r="F110" s="613"/>
      <c r="H110" s="458"/>
      <c r="I110" s="496"/>
      <c r="J110" s="508"/>
    </row>
    <row r="111" spans="2:10" x14ac:dyDescent="0.3">
      <c r="B111" s="978" t="s">
        <v>113</v>
      </c>
      <c r="C111" s="1446">
        <f>IFERROR(SUMIF('2. Roles &amp; Pricing'!$N$48:$N$147,2,'2. Roles &amp; Pricing'!$M$291:$M$390),"")</f>
        <v>5440</v>
      </c>
      <c r="D111" s="1447">
        <f>IFERROR(C111/'2. Roles &amp; Pricing'!$M$289,"")</f>
        <v>0.78386167146974062</v>
      </c>
      <c r="E111" s="612"/>
      <c r="F111" s="613"/>
      <c r="H111" s="458"/>
      <c r="I111" s="496"/>
      <c r="J111" s="508"/>
    </row>
    <row r="112" spans="2:10" x14ac:dyDescent="0.3">
      <c r="B112" s="978" t="s">
        <v>114</v>
      </c>
      <c r="C112" s="1446">
        <f>IFERROR(SUMIF('2. Roles &amp; Pricing'!$N$48:$N$147,3,'2. Roles &amp; Pricing'!$M$291:$M$390),"")</f>
        <v>1200</v>
      </c>
      <c r="D112" s="1447">
        <f>IFERROR(C112/'2. Roles &amp; Pricing'!$M$289,"")</f>
        <v>0.1729106628242075</v>
      </c>
      <c r="E112" s="612"/>
      <c r="F112" s="613"/>
      <c r="H112" s="458"/>
      <c r="I112" s="496"/>
      <c r="J112" s="508"/>
    </row>
    <row r="113" spans="2:16" x14ac:dyDescent="0.3">
      <c r="B113" s="978" t="s">
        <v>115</v>
      </c>
      <c r="C113" s="1446">
        <f>IFERROR(SUMIF('2. Roles &amp; Pricing'!$N$48:$N$147,4,'2. Roles &amp; Pricing'!$M$291:$M$390),"")</f>
        <v>0</v>
      </c>
      <c r="D113" s="1447">
        <f>IFERROR(C113/'2. Roles &amp; Pricing'!$M$289,"")</f>
        <v>0</v>
      </c>
      <c r="E113" s="612"/>
      <c r="F113" s="613"/>
      <c r="H113" s="458"/>
      <c r="I113" s="496"/>
      <c r="J113" s="508"/>
    </row>
    <row r="114" spans="2:16" x14ac:dyDescent="0.3">
      <c r="B114" s="978" t="s">
        <v>116</v>
      </c>
      <c r="C114" s="1446">
        <f>IFERROR(SUMIF('2. Roles &amp; Pricing'!$N$48:$N$147,5,'2. Roles &amp; Pricing'!$M$291:$M$390),"")</f>
        <v>0</v>
      </c>
      <c r="D114" s="1447">
        <f>IFERROR(C114/'2. Roles &amp; Pricing'!$M$289,"")</f>
        <v>0</v>
      </c>
      <c r="K114" s="413"/>
      <c r="L114" s="413"/>
      <c r="M114" s="413"/>
      <c r="N114" s="413"/>
      <c r="O114" s="413"/>
      <c r="P114" s="413"/>
    </row>
    <row r="115" spans="2:16" x14ac:dyDescent="0.3">
      <c r="B115" s="978" t="s">
        <v>117</v>
      </c>
      <c r="C115" s="1446">
        <f>IFERROR(SUMIF('2. Roles &amp; Pricing'!$N$48:$N$147,6,'2. Roles &amp; Pricing'!$M$291:$M$390),"")</f>
        <v>0</v>
      </c>
      <c r="D115" s="1447">
        <f>IFERROR(C115/'2. Roles &amp; Pricing'!$M$289,"")</f>
        <v>0</v>
      </c>
      <c r="K115" s="413"/>
      <c r="L115" s="413"/>
      <c r="M115" s="413"/>
      <c r="N115" s="413"/>
      <c r="O115" s="413"/>
      <c r="P115" s="413"/>
    </row>
    <row r="116" spans="2:16" x14ac:dyDescent="0.3">
      <c r="B116" s="979" t="s">
        <v>230</v>
      </c>
      <c r="C116" s="1448">
        <f>IFERROR(SUMIF('2. Roles &amp; Pricing'!$V$48:$V$147,7,'2. Roles &amp; Pricing'!$M$291:$M$390),"")</f>
        <v>0</v>
      </c>
      <c r="D116" s="1449">
        <f>IFERROR(C116/'2. Roles &amp; Pricing'!$M$289,"")</f>
        <v>0</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Pricing'!D399</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Pricing'!C401</f>
        <v>[Enter Estimated Bucket 1]</v>
      </c>
      <c r="C157" s="1450" t="str">
        <f>'2. Roles &amp; Pricing'!D401</f>
        <v xml:space="preserve"> </v>
      </c>
      <c r="D157" s="1451">
        <f>SUMIF('2. Roles &amp; Pricing'!$AB$48:$AB$147,'4. Summary &amp; Totals'!B157,'2. Roles &amp; Pricing'!$F$291:$F$390)</f>
        <v>0</v>
      </c>
      <c r="E157" s="1452">
        <f>SUMIF('2. Roles &amp; Pricing'!$AB$48:$AB$147,'4. Summary &amp; Totals'!B157,'2. Roles &amp; Pricing'!$D$291:$D$390)</f>
        <v>0</v>
      </c>
      <c r="F157" s="413"/>
      <c r="G157" s="413"/>
      <c r="H157" s="413"/>
      <c r="I157" s="413"/>
      <c r="J157" s="413"/>
      <c r="K157" s="413"/>
      <c r="L157" s="413"/>
      <c r="M157" s="413"/>
      <c r="N157" s="413"/>
      <c r="O157" s="413"/>
      <c r="P157" s="413"/>
    </row>
    <row r="158" spans="2:16" x14ac:dyDescent="0.3">
      <c r="B158" s="984" t="str">
        <f>'2. Roles &amp; Pricing'!C402</f>
        <v>[Enter Estimated Bucket 2]</v>
      </c>
      <c r="C158" s="1446" t="str">
        <f>'2. Roles &amp; Pricing'!D402</f>
        <v xml:space="preserve"> </v>
      </c>
      <c r="D158" s="1453">
        <f>SUMIF('2. Roles &amp; Pricing'!$AB$48:$AB$147,'4. Summary &amp; Totals'!B158,'2. Roles &amp; Pricing'!$F$291:$F$390)</f>
        <v>0</v>
      </c>
      <c r="E158" s="1454">
        <f>SUMIF('2. Roles &amp; Pricing'!$AB$48:$AB$147,'4. Summary &amp; Totals'!B158,'2. Roles &amp; Pricing'!$D$291:$D$390)</f>
        <v>0</v>
      </c>
      <c r="F158" s="413"/>
      <c r="G158" s="413"/>
      <c r="H158" s="413"/>
      <c r="I158" s="413"/>
      <c r="J158" s="413"/>
      <c r="K158" s="413"/>
      <c r="L158" s="413"/>
      <c r="M158" s="413"/>
      <c r="N158" s="413"/>
      <c r="O158" s="413"/>
      <c r="P158" s="413"/>
    </row>
    <row r="159" spans="2:16" x14ac:dyDescent="0.3">
      <c r="B159" s="984" t="str">
        <f>'2. Roles &amp; Pricing'!C403</f>
        <v>[Enter Estimated Bucket 3]</v>
      </c>
      <c r="C159" s="1446" t="str">
        <f>'2. Roles &amp; Pricing'!D403</f>
        <v xml:space="preserve"> </v>
      </c>
      <c r="D159" s="1453">
        <f>SUMIF('2. Roles &amp; Pricing'!$AB$48:$AB$147,'4. Summary &amp; Totals'!B159,'2. Roles &amp; Pricing'!$F$291:$F$390)</f>
        <v>0</v>
      </c>
      <c r="E159" s="1454">
        <f>SUMIF('2. Roles &amp; Pricing'!$AB$48:$AB$147,'4. Summary &amp; Totals'!B159,'2. Roles &amp; Pricing'!$D$291:$D$390)</f>
        <v>0</v>
      </c>
      <c r="F159" s="413"/>
      <c r="G159" s="413"/>
      <c r="H159" s="413"/>
      <c r="I159" s="413"/>
      <c r="J159" s="413"/>
      <c r="K159" s="413"/>
      <c r="L159" s="413"/>
      <c r="M159" s="413"/>
      <c r="N159" s="413"/>
      <c r="O159" s="413"/>
      <c r="P159" s="413"/>
    </row>
    <row r="160" spans="2:16" x14ac:dyDescent="0.3">
      <c r="B160" s="984" t="str">
        <f>'2. Roles &amp; Pricing'!C404</f>
        <v>[Enter Estimated Bucket 4]</v>
      </c>
      <c r="C160" s="1446" t="str">
        <f>'2. Roles &amp; Pricing'!D404</f>
        <v xml:space="preserve"> </v>
      </c>
      <c r="D160" s="1453">
        <f>SUMIF('2. Roles &amp; Pricing'!$AB$48:$AB$147,'4. Summary &amp; Totals'!B160,'2. Roles &amp; Pricing'!$F$291:$F$390)</f>
        <v>0</v>
      </c>
      <c r="E160" s="1454">
        <f>SUMIF('2. Roles &amp; Pricing'!$AB$48:$AB$147,'4. Summary &amp; Totals'!B160,'2. Roles &amp; Pricing'!$D$291:$D$390)</f>
        <v>0</v>
      </c>
      <c r="F160" s="413"/>
      <c r="G160" s="413"/>
      <c r="H160" s="413"/>
      <c r="I160" s="413"/>
      <c r="J160" s="413"/>
      <c r="K160" s="413"/>
      <c r="L160" s="413"/>
      <c r="M160" s="413"/>
      <c r="N160" s="413"/>
      <c r="O160" s="413"/>
      <c r="P160" s="413"/>
    </row>
    <row r="161" spans="2:16" x14ac:dyDescent="0.3">
      <c r="B161" s="984" t="str">
        <f>'2. Roles &amp; Pricing'!C405</f>
        <v>[Enter Estimated Bucket 5]</v>
      </c>
      <c r="C161" s="1446" t="str">
        <f>'2. Roles &amp; Pricing'!D405</f>
        <v xml:space="preserve"> </v>
      </c>
      <c r="D161" s="1453">
        <f>SUMIF('2. Roles &amp; Pricing'!$AB$48:$AB$147,'4. Summary &amp; Totals'!B161,'2. Roles &amp; Pricing'!$F$291:$F$390)</f>
        <v>0</v>
      </c>
      <c r="E161" s="1454">
        <f>SUMIF('2. Roles &amp; Pricing'!$AB$48:$AB$147,'4. Summary &amp; Totals'!B161,'2. Roles &amp; Pricing'!$D$291:$D$390)</f>
        <v>0</v>
      </c>
      <c r="F161" s="413"/>
      <c r="G161" s="413"/>
      <c r="H161" s="413"/>
      <c r="I161" s="413"/>
      <c r="J161" s="413"/>
      <c r="K161" s="413"/>
      <c r="L161" s="413"/>
      <c r="M161" s="413"/>
      <c r="N161" s="413"/>
      <c r="O161" s="413"/>
      <c r="P161" s="413"/>
    </row>
    <row r="162" spans="2:16" x14ac:dyDescent="0.3">
      <c r="B162" s="984" t="str">
        <f>'2. Roles &amp; Pricing'!C406</f>
        <v>[Enter Estimated Bucket 6]</v>
      </c>
      <c r="C162" s="1446" t="str">
        <f>'2. Roles &amp; Pricing'!D406</f>
        <v xml:space="preserve"> </v>
      </c>
      <c r="D162" s="1453">
        <f>SUMIF('2. Roles &amp; Pricing'!$AB$48:$AB$147,'4. Summary &amp; Totals'!B162,'2. Roles &amp; Pricing'!$F$291:$F$390)</f>
        <v>0</v>
      </c>
      <c r="E162" s="1454">
        <f>SUMIF('2. Roles &amp; Pricing'!$AB$48:$AB$147,'4. Summary &amp; Totals'!B162,'2. Roles &amp; Pricing'!$D$291:$D$390)</f>
        <v>0</v>
      </c>
      <c r="F162" s="413"/>
      <c r="G162" s="413"/>
      <c r="H162" s="413"/>
      <c r="I162" s="413"/>
      <c r="J162" s="413"/>
      <c r="K162" s="413"/>
      <c r="L162" s="413"/>
      <c r="M162" s="413"/>
      <c r="N162" s="413"/>
      <c r="O162" s="413"/>
      <c r="P162" s="413"/>
    </row>
    <row r="163" spans="2:16" x14ac:dyDescent="0.3">
      <c r="B163" s="984" t="str">
        <f>'2. Roles &amp; Pricing'!C407</f>
        <v>[Enter Estimated Bucket 7]</v>
      </c>
      <c r="C163" s="1446" t="str">
        <f>'2. Roles &amp; Pricing'!D407</f>
        <v xml:space="preserve"> </v>
      </c>
      <c r="D163" s="1453">
        <f>SUMIF('2. Roles &amp; Pricing'!$AB$48:$AB$147,'4. Summary &amp; Totals'!B163,'2. Roles &amp; Pricing'!$F$291:$F$390)</f>
        <v>0</v>
      </c>
      <c r="E163" s="1454">
        <f>SUMIF('2. Roles &amp; Pricing'!$AB$48:$AB$147,'4. Summary &amp; Totals'!B163,'2. Roles &amp; Pricing'!$D$291:$D$390)</f>
        <v>0</v>
      </c>
      <c r="F163" s="413"/>
      <c r="G163" s="413"/>
      <c r="H163" s="413"/>
      <c r="I163" s="413"/>
      <c r="J163" s="413"/>
      <c r="K163" s="413"/>
      <c r="L163" s="413"/>
      <c r="M163" s="413"/>
      <c r="N163" s="413"/>
      <c r="O163" s="413"/>
      <c r="P163" s="413"/>
    </row>
    <row r="164" spans="2:16" ht="13" customHeight="1" x14ac:dyDescent="0.3">
      <c r="B164" s="984" t="str">
        <f>'2. Roles &amp; Pricing'!C408</f>
        <v>[Enter Estimated Bucket 8]</v>
      </c>
      <c r="C164" s="1446" t="str">
        <f>'2. Roles &amp; Pricing'!D408</f>
        <v xml:space="preserve"> </v>
      </c>
      <c r="D164" s="1453">
        <f>SUMIF('2. Roles &amp; Pricing'!$AB$48:$AB$147,'4. Summary &amp; Totals'!B164,'2. Roles &amp; Pricing'!$F$291:$F$390)</f>
        <v>0</v>
      </c>
      <c r="E164" s="1454">
        <f>SUMIF('2. Roles &amp; Pricing'!$AB$48:$AB$147,'4. Summary &amp; Totals'!B164,'2. Roles &amp; Pricing'!$D$291:$D$390)</f>
        <v>0</v>
      </c>
      <c r="F164" s="413"/>
      <c r="G164" s="413"/>
      <c r="H164" s="413"/>
      <c r="I164" s="413"/>
      <c r="J164" s="413"/>
      <c r="K164" s="413"/>
      <c r="L164" s="413"/>
      <c r="M164" s="413"/>
      <c r="N164" s="413"/>
      <c r="O164" s="413"/>
      <c r="P164" s="413"/>
    </row>
    <row r="165" spans="2:16" ht="15" customHeight="1" x14ac:dyDescent="0.3">
      <c r="B165" s="984" t="str">
        <f>'2. Roles &amp; Pricing'!C409</f>
        <v>[Enter Estimated Bucket 9]</v>
      </c>
      <c r="C165" s="1446" t="str">
        <f>'2. Roles &amp; Pricing'!D409</f>
        <v xml:space="preserve"> </v>
      </c>
      <c r="D165" s="1453">
        <f>SUMIF('2. Roles &amp; Pricing'!$AB$48:$AB$147,'4. Summary &amp; Totals'!B165,'2. Roles &amp; Pricing'!$F$291:$F$390)</f>
        <v>0</v>
      </c>
      <c r="E165" s="1454">
        <f>SUMIF('2. Roles &amp; Pricing'!$AB$48:$AB$147,'4. Summary &amp; Totals'!B165,'2. Roles &amp; Pricing'!$D$291:$D$390)</f>
        <v>0</v>
      </c>
      <c r="F165" s="413"/>
      <c r="G165" s="413"/>
      <c r="H165" s="413"/>
      <c r="I165" s="413"/>
      <c r="J165" s="413"/>
      <c r="K165" s="413"/>
      <c r="L165" s="413"/>
      <c r="M165" s="413"/>
      <c r="N165" s="413"/>
      <c r="O165" s="413"/>
      <c r="P165" s="413"/>
    </row>
    <row r="166" spans="2:16" x14ac:dyDescent="0.3">
      <c r="B166" s="984" t="str">
        <f>'2. Roles &amp; Pricing'!C410</f>
        <v>[Enter Estimated Bucket 10]</v>
      </c>
      <c r="C166" s="1446" t="str">
        <f>'2. Roles &amp; Pricing'!D410</f>
        <v xml:space="preserve"> </v>
      </c>
      <c r="D166" s="1453">
        <f>SUMIF('2. Roles &amp; Pricing'!$AB$48:$AB$147,'4. Summary &amp; Totals'!B166,'2. Roles &amp; Pricing'!$F$291:$F$390)</f>
        <v>0</v>
      </c>
      <c r="E166" s="1454">
        <f>SUMIF('2. Roles &amp; Pricing'!$AB$48:$AB$147,'4. Summary &amp; Totals'!B166,'2. Roles &amp; Pricing'!$D$291:$D$390)</f>
        <v>0</v>
      </c>
      <c r="F166" s="413"/>
      <c r="G166" s="413"/>
      <c r="H166" s="413"/>
      <c r="I166" s="413"/>
      <c r="J166" s="413"/>
      <c r="K166" s="413"/>
      <c r="L166" s="413"/>
      <c r="M166" s="413"/>
      <c r="N166" s="413"/>
      <c r="O166" s="413"/>
      <c r="P166" s="413"/>
    </row>
    <row r="167" spans="2:16" x14ac:dyDescent="0.3">
      <c r="B167" s="984" t="str">
        <f>'2. Roles &amp; Pricing'!C411</f>
        <v>[Enter Estimated Bucket 11]</v>
      </c>
      <c r="C167" s="1446" t="str">
        <f>'2. Roles &amp; Pricing'!D411</f>
        <v xml:space="preserve"> </v>
      </c>
      <c r="D167" s="1453">
        <f>SUMIF('2. Roles &amp; Pricing'!$AB$48:$AB$147,'4. Summary &amp; Totals'!B167,'2. Roles &amp; Pricing'!$F$291:$F$390)</f>
        <v>0</v>
      </c>
      <c r="E167" s="1454">
        <f>SUMIF('2. Roles &amp; Pricing'!$AB$48:$AB$147,'4. Summary &amp; Totals'!B167,'2. Roles &amp; Pricing'!$D$291:$D$390)</f>
        <v>0</v>
      </c>
      <c r="F167" s="413"/>
      <c r="G167" s="413"/>
      <c r="H167" s="413"/>
      <c r="I167" s="413"/>
      <c r="J167" s="413"/>
      <c r="K167" s="413"/>
      <c r="L167" s="413"/>
      <c r="M167" s="413"/>
      <c r="N167" s="413"/>
      <c r="O167" s="413"/>
      <c r="P167" s="413"/>
    </row>
    <row r="168" spans="2:16" x14ac:dyDescent="0.3">
      <c r="B168" s="984" t="str">
        <f>'2. Roles &amp; Pricing'!C412</f>
        <v>[Enter Estimated Bucket 12]</v>
      </c>
      <c r="C168" s="1446" t="str">
        <f>'2. Roles &amp; Pricing'!D412</f>
        <v xml:space="preserve"> </v>
      </c>
      <c r="D168" s="1453">
        <f>SUMIF('2. Roles &amp; Pricing'!$AB$48:$AB$147,'4. Summary &amp; Totals'!B168,'2. Roles &amp; Pricing'!$F$291:$F$390)</f>
        <v>0</v>
      </c>
      <c r="E168" s="1454">
        <f>SUMIF('2. Roles &amp; Pricing'!$AB$48:$AB$147,'4. Summary &amp; Totals'!B168,'2. Roles &amp; Pricing'!$D$291:$D$390)</f>
        <v>0</v>
      </c>
      <c r="F168" s="413"/>
      <c r="G168" s="413"/>
      <c r="H168" s="413"/>
      <c r="I168" s="413"/>
      <c r="J168" s="413"/>
      <c r="K168" s="413"/>
      <c r="L168" s="413"/>
      <c r="M168" s="413"/>
      <c r="N168" s="413"/>
      <c r="O168" s="413"/>
      <c r="P168" s="413"/>
    </row>
    <row r="169" spans="2:16" x14ac:dyDescent="0.3">
      <c r="B169" s="984" t="str">
        <f>'2. Roles &amp; Pricing'!C413</f>
        <v>[Enter Estimated Bucket 13]</v>
      </c>
      <c r="C169" s="1446" t="str">
        <f>'2. Roles &amp; Pricing'!D413</f>
        <v xml:space="preserve"> </v>
      </c>
      <c r="D169" s="1453">
        <f>SUMIF('2. Roles &amp; Pricing'!$AB$48:$AB$147,'4. Summary &amp; Totals'!B169,'2. Roles &amp; Pricing'!$F$291:$F$390)</f>
        <v>0</v>
      </c>
      <c r="E169" s="1454">
        <f>SUMIF('2. Roles &amp; Pricing'!$AB$48:$AB$147,'4. Summary &amp; Totals'!B169,'2. Roles &amp; Pricing'!$D$291:$D$390)</f>
        <v>0</v>
      </c>
      <c r="F169" s="413"/>
      <c r="G169" s="413"/>
      <c r="H169" s="413"/>
      <c r="I169" s="413"/>
      <c r="J169" s="413"/>
      <c r="K169" s="413"/>
      <c r="L169" s="413"/>
      <c r="M169" s="413"/>
      <c r="N169" s="413"/>
      <c r="O169" s="413"/>
      <c r="P169" s="413"/>
    </row>
    <row r="170" spans="2:16" x14ac:dyDescent="0.3">
      <c r="B170" s="984" t="str">
        <f>'2. Roles &amp; Pricing'!C414</f>
        <v>[Enter Estimated Bucket 14]</v>
      </c>
      <c r="C170" s="1446" t="str">
        <f>'2. Roles &amp; Pricing'!D414</f>
        <v xml:space="preserve"> </v>
      </c>
      <c r="D170" s="1453">
        <f>SUMIF('2. Roles &amp; Pricing'!$AB$48:$AB$147,'4. Summary &amp; Totals'!B170,'2. Roles &amp; Pricing'!$F$291:$F$390)</f>
        <v>0</v>
      </c>
      <c r="E170" s="1454">
        <f>SUMIF('2. Roles &amp; Pricing'!$AB$48:$AB$147,'4. Summary &amp; Totals'!B170,'2. Roles &amp; Pricing'!$D$291:$D$390)</f>
        <v>0</v>
      </c>
      <c r="F170" s="413"/>
      <c r="G170" s="413"/>
      <c r="H170" s="413"/>
      <c r="I170" s="413"/>
      <c r="J170" s="413"/>
      <c r="K170" s="413"/>
      <c r="L170" s="413"/>
      <c r="M170" s="413"/>
      <c r="N170" s="413"/>
      <c r="O170" s="413"/>
      <c r="P170" s="413"/>
    </row>
    <row r="171" spans="2:16" x14ac:dyDescent="0.3">
      <c r="B171" s="984" t="str">
        <f>'2. Roles &amp; Pricing'!C415</f>
        <v>[Enter Estimated Bucket 15]</v>
      </c>
      <c r="C171" s="1446" t="str">
        <f>'2. Roles &amp; Pricing'!D415</f>
        <v xml:space="preserve"> </v>
      </c>
      <c r="D171" s="1453">
        <f>SUMIF('2. Roles &amp; Pricing'!$AB$48:$AB$147,'4. Summary &amp; Totals'!B171,'2. Roles &amp; Pricing'!$F$291:$F$390)</f>
        <v>0</v>
      </c>
      <c r="E171" s="1454">
        <f>SUMIF('2. Roles &amp; Pricing'!$AB$48:$AB$147,'4. Summary &amp; Totals'!B171,'2. Roles &amp; Pricing'!$D$291:$D$390)</f>
        <v>0</v>
      </c>
      <c r="F171" s="413"/>
      <c r="G171" s="413"/>
      <c r="H171" s="413"/>
      <c r="I171" s="413"/>
      <c r="J171" s="413"/>
      <c r="K171" s="413"/>
      <c r="L171" s="413"/>
      <c r="M171" s="413"/>
      <c r="N171" s="413"/>
      <c r="O171" s="413"/>
      <c r="P171" s="413"/>
    </row>
    <row r="172" spans="2:16" x14ac:dyDescent="0.3">
      <c r="B172" s="984" t="str">
        <f>'2. Roles &amp; Pricing'!C416</f>
        <v>[Enter Estimated Bucket 16]</v>
      </c>
      <c r="C172" s="1446" t="str">
        <f>'2. Roles &amp; Pricing'!D416</f>
        <v xml:space="preserve"> </v>
      </c>
      <c r="D172" s="1453">
        <f>SUMIF('2. Roles &amp; Pricing'!$AB$48:$AB$147,'4. Summary &amp; Totals'!B172,'2. Roles &amp; Pricing'!$F$291:$F$390)</f>
        <v>0</v>
      </c>
      <c r="E172" s="1454">
        <f>SUMIF('2. Roles &amp; Pricing'!$AB$48:$AB$147,'4. Summary &amp; Totals'!B172,'2. Roles &amp; Pricing'!$D$291:$D$390)</f>
        <v>0</v>
      </c>
      <c r="F172" s="413"/>
      <c r="G172" s="413"/>
      <c r="H172" s="413"/>
      <c r="I172" s="413"/>
      <c r="J172" s="413"/>
      <c r="K172" s="413"/>
      <c r="L172" s="413"/>
      <c r="M172" s="413"/>
      <c r="N172" s="413"/>
      <c r="O172" s="413"/>
      <c r="P172" s="413"/>
    </row>
    <row r="173" spans="2:16" x14ac:dyDescent="0.3">
      <c r="B173" s="984" t="str">
        <f>'2. Roles &amp; Pricing'!C417</f>
        <v>[Enter Estimated Bucket 17]</v>
      </c>
      <c r="C173" s="1446" t="str">
        <f>'2. Roles &amp; Pricing'!D417</f>
        <v xml:space="preserve"> </v>
      </c>
      <c r="D173" s="1453">
        <f>SUMIF('2. Roles &amp; Pricing'!$AB$48:$AB$147,'4. Summary &amp; Totals'!B173,'2. Roles &amp; Pricing'!$F$291:$F$390)</f>
        <v>0</v>
      </c>
      <c r="E173" s="1454">
        <f>SUMIF('2. Roles &amp; Pricing'!$AB$48:$AB$147,'4. Summary &amp; Totals'!B173,'2. Roles &amp; Pricing'!$D$291:$D$390)</f>
        <v>0</v>
      </c>
      <c r="F173" s="413"/>
      <c r="G173" s="413"/>
      <c r="H173" s="413"/>
      <c r="I173" s="413"/>
      <c r="J173" s="413"/>
      <c r="K173" s="413"/>
      <c r="L173" s="413"/>
      <c r="M173" s="413"/>
      <c r="N173" s="413"/>
      <c r="O173" s="413"/>
      <c r="P173" s="413"/>
    </row>
    <row r="174" spans="2:16" x14ac:dyDescent="0.3">
      <c r="B174" s="984" t="str">
        <f>'2. Roles &amp; Pricing'!C418</f>
        <v>[Enter Estimated Bucket 18]</v>
      </c>
      <c r="C174" s="1446" t="str">
        <f>'2. Roles &amp; Pricing'!D418</f>
        <v xml:space="preserve"> </v>
      </c>
      <c r="D174" s="1453">
        <f>SUMIF('2. Roles &amp; Pricing'!$AB$48:$AB$147,'4. Summary &amp; Totals'!B174,'2. Roles &amp; Pricing'!$F$291:$F$390)</f>
        <v>0</v>
      </c>
      <c r="E174" s="1454">
        <f>SUMIF('2. Roles &amp; Pricing'!$AB$48:$AB$147,'4. Summary &amp; Totals'!B174,'2. Roles &amp; Pricing'!$D$291:$D$390)</f>
        <v>0</v>
      </c>
      <c r="F174" s="413"/>
      <c r="G174" s="413"/>
      <c r="H174" s="413"/>
      <c r="I174" s="413"/>
      <c r="J174" s="413"/>
      <c r="K174" s="413"/>
      <c r="L174" s="413"/>
      <c r="M174" s="413"/>
      <c r="N174" s="413"/>
      <c r="O174" s="413"/>
      <c r="P174" s="413"/>
    </row>
    <row r="175" spans="2:16" x14ac:dyDescent="0.3">
      <c r="B175" s="984" t="str">
        <f>'2. Roles &amp; Pricing'!C419</f>
        <v>[Enter Estimated Bucket 19]</v>
      </c>
      <c r="C175" s="1446" t="str">
        <f>'2. Roles &amp; Pricing'!D419</f>
        <v xml:space="preserve"> </v>
      </c>
      <c r="D175" s="1453">
        <f>SUMIF('2. Roles &amp; Pricing'!$AB$48:$AB$147,'4. Summary &amp; Totals'!B175,'2. Roles &amp; Pricing'!$F$291:$F$390)</f>
        <v>0</v>
      </c>
      <c r="E175" s="1454">
        <f>SUMIF('2. Roles &amp; Pricing'!$AB$48:$AB$147,'4. Summary &amp; Totals'!B175,'2. Roles &amp; Pricing'!$D$291:$D$390)</f>
        <v>0</v>
      </c>
      <c r="F175" s="413"/>
      <c r="G175" s="413"/>
      <c r="H175" s="413"/>
      <c r="I175" s="413"/>
      <c r="J175" s="413"/>
      <c r="K175" s="413"/>
      <c r="L175" s="413"/>
      <c r="M175" s="413"/>
      <c r="N175" s="413"/>
      <c r="O175" s="413"/>
      <c r="P175" s="413"/>
    </row>
    <row r="176" spans="2:16" x14ac:dyDescent="0.3">
      <c r="B176" s="985" t="str">
        <f>'2. Roles &amp; Pricing'!C420</f>
        <v>[Enter Estimated Bucket 20]</v>
      </c>
      <c r="C176" s="1448" t="str">
        <f>'2. Roles &amp; Pricing'!D420</f>
        <v xml:space="preserve"> </v>
      </c>
      <c r="D176" s="1455">
        <f>SUMIF('2. Roles &amp; Pricing'!$AB$48:$AB$147,'4. Summary &amp; Totals'!B176,'2. Roles &amp; Pricing'!$F$291:$F$390)</f>
        <v>0</v>
      </c>
      <c r="E176" s="1456">
        <f>SUMIF('2. Roles &amp; Pricing'!$AB$48:$AB$147,'4. Summary &amp; Totals'!B176,'2. Roles &amp; Pricing'!$D$291:$D$390)</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132" priority="62" operator="equal">
      <formula>"Onshore"</formula>
    </cfRule>
    <cfRule type="cellIs" dxfId="131" priority="63" operator="equal">
      <formula>"Onsite"</formula>
    </cfRule>
    <cfRule type="cellIs" dxfId="130" priority="64" operator="equal">
      <formula>"Onsite"</formula>
    </cfRule>
    <cfRule type="cellIs" dxfId="129" priority="65" operator="equal">
      <formula>"Onshore"</formula>
    </cfRule>
  </conditionalFormatting>
  <conditionalFormatting sqref="C53">
    <cfRule type="cellIs" dxfId="128" priority="1" operator="lessThan">
      <formula>0.47</formula>
    </cfRule>
  </conditionalFormatting>
  <conditionalFormatting sqref="E3">
    <cfRule type="expression" dxfId="127" priority="186">
      <formula>$E$3="ROPE Ready for Upload"</formula>
    </cfRule>
    <cfRule type="expression" dxfId="126" priority="187">
      <formula>$E$3="ROPE INCOMPLETE -- WILL NOT UPLOAD"</formula>
    </cfRule>
  </conditionalFormatting>
  <conditionalFormatting sqref="J53:J79">
    <cfRule type="beginsWith" dxfId="125" priority="43" operator="beginsWith" text="[">
      <formula>LEFT(J53,LEN("["))="["</formula>
    </cfRule>
  </conditionalFormatting>
  <conditionalFormatting sqref="K53:K70">
    <cfRule type="expression" dxfId="124" priority="174">
      <formula>#REF!="%"</formula>
    </cfRule>
  </conditionalFormatting>
  <conditionalFormatting sqref="K71:K73">
    <cfRule type="expression" dxfId="123" priority="213">
      <formula>$I22="%"</formula>
    </cfRule>
  </conditionalFormatting>
  <conditionalFormatting sqref="K74 K76:K77">
    <cfRule type="expression" dxfId="122" priority="206">
      <formula>#REF!="%"</formula>
    </cfRule>
  </conditionalFormatting>
  <conditionalFormatting sqref="K75">
    <cfRule type="expression" dxfId="121" priority="45">
      <formula>$I25="%"</formula>
    </cfRule>
  </conditionalFormatting>
  <conditionalFormatting sqref="K78">
    <cfRule type="expression" dxfId="120" priority="202">
      <formula>$I25="%"</formula>
    </cfRule>
  </conditionalFormatting>
  <conditionalFormatting sqref="K79">
    <cfRule type="expression" dxfId="119" priority="211">
      <formula>$I28="%"</formula>
    </cfRule>
  </conditionalFormatting>
  <conditionalFormatting sqref="L53:L70">
    <cfRule type="expression" dxfId="118" priority="176">
      <formula>#REF!="Hrs"</formula>
    </cfRule>
  </conditionalFormatting>
  <conditionalFormatting sqref="L71:L73">
    <cfRule type="expression" dxfId="117" priority="219">
      <formula>$I22="Hrs"</formula>
    </cfRule>
  </conditionalFormatting>
  <conditionalFormatting sqref="L74 L76:L77">
    <cfRule type="expression" dxfId="116" priority="208">
      <formula>#REF!="Hrs"</formula>
    </cfRule>
  </conditionalFormatting>
  <conditionalFormatting sqref="L75">
    <cfRule type="expression" dxfId="115" priority="44">
      <formula>$I25="Hrs"</formula>
    </cfRule>
  </conditionalFormatting>
  <conditionalFormatting sqref="L78">
    <cfRule type="expression" dxfId="114" priority="204">
      <formula>$I25="Hrs"</formula>
    </cfRule>
  </conditionalFormatting>
  <conditionalFormatting sqref="L79">
    <cfRule type="expression" dxfId="113"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780" t="s">
        <v>2304</v>
      </c>
      <c r="D3" s="1780"/>
      <c r="E3" s="735" t="str">
        <f>'2. Roles &amp; Pricing'!L3</f>
        <v>ROPE Ready for Upload</v>
      </c>
    </row>
    <row r="4" spans="1:150" s="469" customFormat="1" ht="13" customHeight="1" x14ac:dyDescent="0.3">
      <c r="C4" s="1780"/>
      <c r="D4" s="1780"/>
    </row>
    <row r="5" spans="1:150" s="526" customFormat="1" ht="7" customHeight="1" x14ac:dyDescent="0.3"/>
    <row r="6" spans="1:150" ht="17.5" x14ac:dyDescent="0.3">
      <c r="C6" s="740" t="s">
        <v>2</v>
      </c>
      <c r="D6" s="403"/>
      <c r="E6" s="403"/>
    </row>
    <row r="7" spans="1:150" x14ac:dyDescent="0.3">
      <c r="C7" s="1785" t="s">
        <v>3284</v>
      </c>
      <c r="D7" s="1785"/>
      <c r="E7" s="1785"/>
    </row>
    <row r="8" spans="1:150" x14ac:dyDescent="0.3">
      <c r="C8" s="1786" t="s">
        <v>3285</v>
      </c>
      <c r="D8" s="1786"/>
      <c r="E8" s="1786"/>
    </row>
    <row r="9" spans="1:150" x14ac:dyDescent="0.3">
      <c r="C9" s="1786" t="s">
        <v>3286</v>
      </c>
      <c r="D9" s="1786"/>
      <c r="E9" s="1786"/>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34" t="s">
        <v>2161</v>
      </c>
      <c r="D13" s="1635"/>
    </row>
    <row r="14" spans="1:150" ht="24.5" customHeight="1" x14ac:dyDescent="0.3">
      <c r="C14" s="1781" t="str">
        <f>IF(COUNTIF(B21:B99,"FAIL")&gt;0,"ROPE Not Ready for Upload","ROPE Ready for Upload")</f>
        <v>ROPE Ready for Upload</v>
      </c>
      <c r="D14" s="1783" t="str">
        <f>IF(C14="ROPE Not Ready for Upload","Please see below list to determine what inputs are needed for your ROPE to upload successfully","")</f>
        <v/>
      </c>
    </row>
    <row r="15" spans="1:150" ht="30.5" customHeight="1" x14ac:dyDescent="0.3">
      <c r="C15" s="1782"/>
      <c r="D15" s="1784"/>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34" t="s">
        <v>2182</v>
      </c>
      <c r="D19" s="1775"/>
      <c r="E19" s="1635"/>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Pricing'!K48:K148)&lt;1,"FAIL","PASS")</f>
        <v>PASS</v>
      </c>
      <c r="C31" s="990" t="s">
        <v>2069</v>
      </c>
      <c r="D31" s="988" t="s">
        <v>2388</v>
      </c>
      <c r="E31" s="992" t="s">
        <v>2076</v>
      </c>
    </row>
    <row r="32" spans="1:150" ht="42" x14ac:dyDescent="0.3">
      <c r="B32" s="624" t="str">
        <f>IF('2. Roles &amp; Pricing'!M289&lt;1,"FAIL","PASS")</f>
        <v>PASS</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112" priority="3" operator="equal">
      <formula>"ROPE Ready for Upload"</formula>
    </cfRule>
    <cfRule type="cellIs" dxfId="111" priority="4" operator="equal">
      <formula>"ROPE Not Ready for Upload"</formula>
    </cfRule>
  </conditionalFormatting>
  <conditionalFormatting sqref="C21:C35">
    <cfRule type="expression" dxfId="110" priority="5">
      <formula>$B21="FAIL"</formula>
    </cfRule>
  </conditionalFormatting>
  <conditionalFormatting sqref="E3">
    <cfRule type="expression" dxfId="109" priority="1">
      <formula>$E$3="ROPE Ready for Upload"</formula>
    </cfRule>
    <cfRule type="expression" dxfId="108"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7265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699" t="s">
        <v>0</v>
      </c>
      <c r="J2" s="1703"/>
      <c r="K2" s="1843"/>
      <c r="L2" s="622" t="s">
        <v>2241</v>
      </c>
      <c r="P2" s="745"/>
      <c r="Q2" s="745"/>
      <c r="R2" s="469"/>
      <c r="S2" s="469"/>
    </row>
    <row r="3" spans="2:19" s="744" customFormat="1" ht="42" x14ac:dyDescent="0.3">
      <c r="B3" s="1850" t="s">
        <v>2305</v>
      </c>
      <c r="C3" s="1850"/>
      <c r="D3" s="1850"/>
      <c r="E3" s="1850"/>
      <c r="F3" s="1850"/>
      <c r="G3" s="1850"/>
      <c r="H3" s="1851"/>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855" t="s">
        <v>3684</v>
      </c>
      <c r="C6" s="1855"/>
      <c r="D6" s="1855"/>
      <c r="E6" s="1597"/>
      <c r="F6" s="1597"/>
      <c r="J6" s="1598"/>
      <c r="P6" s="852"/>
      <c r="Q6" s="852"/>
    </row>
    <row r="7" spans="2:19" s="407" customFormat="1" ht="15" customHeight="1" x14ac:dyDescent="0.3">
      <c r="B7" s="1853" t="s">
        <v>3686</v>
      </c>
      <c r="C7" s="1853"/>
      <c r="D7" s="1853"/>
      <c r="E7" s="1853"/>
      <c r="F7" s="1853"/>
      <c r="G7" s="1853"/>
      <c r="H7" s="1853"/>
      <c r="I7" s="1853"/>
      <c r="J7" s="1853"/>
      <c r="P7" s="852"/>
      <c r="Q7" s="852"/>
      <c r="R7" s="406"/>
      <c r="S7" s="406"/>
    </row>
    <row r="8" spans="2:19" s="407" customFormat="1" ht="26" customHeight="1" x14ac:dyDescent="0.3">
      <c r="B8" s="1853"/>
      <c r="C8" s="1853"/>
      <c r="D8" s="1853"/>
      <c r="E8" s="1853"/>
      <c r="F8" s="1853"/>
      <c r="G8" s="1853"/>
      <c r="H8" s="1853"/>
      <c r="I8" s="1853"/>
      <c r="J8" s="1853"/>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854" t="s">
        <v>3284</v>
      </c>
      <c r="C11" s="1854"/>
      <c r="D11" s="1854"/>
      <c r="E11" s="444"/>
      <c r="F11" s="444"/>
    </row>
    <row r="12" spans="2:19" x14ac:dyDescent="0.3">
      <c r="B12" s="1852" t="s">
        <v>2288</v>
      </c>
      <c r="C12" s="1800"/>
      <c r="D12" s="1800"/>
      <c r="E12" s="1800"/>
      <c r="F12" s="1801"/>
      <c r="G12" s="1551"/>
      <c r="H12" s="1551"/>
      <c r="I12" s="1551"/>
      <c r="J12" s="1551"/>
    </row>
    <row r="13" spans="2:19" s="411" customFormat="1" x14ac:dyDescent="0.3">
      <c r="B13" s="873" t="s">
        <v>1304</v>
      </c>
      <c r="C13" s="1841" t="str">
        <f>'1. Project Inputs'!C18</f>
        <v>C Spire</v>
      </c>
      <c r="D13" s="1841"/>
      <c r="E13" s="1841"/>
      <c r="F13" s="1842"/>
      <c r="M13" s="1834"/>
      <c r="N13" s="1834"/>
      <c r="P13" s="632"/>
      <c r="Q13" s="632"/>
      <c r="R13" s="395"/>
      <c r="S13" s="395"/>
    </row>
    <row r="14" spans="2:19" s="411" customFormat="1" x14ac:dyDescent="0.3">
      <c r="B14" s="869" t="s">
        <v>1886</v>
      </c>
      <c r="C14" s="1835" t="s">
        <v>4</v>
      </c>
      <c r="D14" s="1835"/>
      <c r="E14" s="1835"/>
      <c r="F14" s="1836"/>
      <c r="M14" s="476"/>
      <c r="N14" s="476"/>
      <c r="O14" s="632"/>
      <c r="P14" s="395"/>
      <c r="Q14" s="395"/>
    </row>
    <row r="15" spans="2:19" s="411" customFormat="1" x14ac:dyDescent="0.3">
      <c r="B15" s="869" t="s">
        <v>1888</v>
      </c>
      <c r="C15" s="1835" t="s">
        <v>4</v>
      </c>
      <c r="D15" s="1835"/>
      <c r="E15" s="1835"/>
      <c r="F15" s="1836"/>
      <c r="M15" s="476"/>
      <c r="N15" s="476"/>
      <c r="P15" s="632"/>
      <c r="Q15" s="632"/>
      <c r="R15" s="395"/>
      <c r="S15" s="395"/>
    </row>
    <row r="16" spans="2:19" s="411" customFormat="1" x14ac:dyDescent="0.3">
      <c r="B16" s="869" t="s">
        <v>22</v>
      </c>
      <c r="C16" s="1837" t="str">
        <f>'1. Project Inputs'!C23</f>
        <v>Test Digital Project</v>
      </c>
      <c r="D16" s="1837"/>
      <c r="E16" s="1837"/>
      <c r="F16" s="1838"/>
      <c r="M16" s="476"/>
      <c r="N16" s="476"/>
      <c r="P16" s="632"/>
      <c r="Q16" s="632"/>
      <c r="R16" s="395"/>
      <c r="S16" s="395"/>
    </row>
    <row r="17" spans="2:19" s="411" customFormat="1" x14ac:dyDescent="0.3">
      <c r="B17" s="869" t="s">
        <v>23</v>
      </c>
      <c r="C17" s="1839" t="str">
        <f>'1. Project Inputs'!C24</f>
        <v>Digital - Systems Implementation</v>
      </c>
      <c r="D17" s="1839"/>
      <c r="E17" s="1839"/>
      <c r="F17" s="1840"/>
      <c r="P17" s="632"/>
      <c r="Q17" s="632"/>
      <c r="R17" s="395"/>
      <c r="S17" s="395"/>
    </row>
    <row r="18" spans="2:19" s="411" customFormat="1" x14ac:dyDescent="0.3">
      <c r="B18" s="869" t="s">
        <v>49</v>
      </c>
      <c r="C18" s="1839" t="str">
        <f>'1. Project Inputs'!C25</f>
        <v>Standard Rates</v>
      </c>
      <c r="D18" s="1839"/>
      <c r="E18" s="1839"/>
      <c r="F18" s="1840"/>
      <c r="P18" s="632"/>
      <c r="Q18" s="632"/>
      <c r="R18" s="395"/>
      <c r="S18" s="395"/>
    </row>
    <row r="19" spans="2:19" s="411" customFormat="1" x14ac:dyDescent="0.3">
      <c r="B19" s="869" t="s">
        <v>1890</v>
      </c>
      <c r="C19" s="1844">
        <f>'1. Project Inputs'!C27</f>
        <v>45916</v>
      </c>
      <c r="D19" s="1844"/>
      <c r="E19" s="1844"/>
      <c r="F19" s="1845"/>
      <c r="P19" s="632"/>
      <c r="Q19" s="632"/>
      <c r="R19" s="395"/>
      <c r="S19" s="395"/>
    </row>
    <row r="20" spans="2:19" s="411" customFormat="1" x14ac:dyDescent="0.3">
      <c r="B20" s="876" t="s">
        <v>50</v>
      </c>
      <c r="C20" s="1846">
        <f>'1. Project Inputs'!C29</f>
        <v>30</v>
      </c>
      <c r="D20" s="1847"/>
      <c r="E20" s="1847"/>
      <c r="F20" s="1848"/>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849" t="s">
        <v>2394</v>
      </c>
      <c r="C23" s="1849"/>
      <c r="D23" s="1849"/>
      <c r="E23" s="1849"/>
      <c r="F23" s="1849"/>
      <c r="G23" s="1849"/>
      <c r="H23" s="1849"/>
      <c r="I23" s="1849"/>
      <c r="J23" s="1849"/>
    </row>
    <row r="24" spans="2:19" ht="22" customHeight="1" x14ac:dyDescent="0.3">
      <c r="B24" s="2041" t="s">
        <v>2370</v>
      </c>
      <c r="C24" s="2042" t="s">
        <v>1892</v>
      </c>
      <c r="D24" s="2043"/>
      <c r="E24" s="2043"/>
      <c r="F24" s="2043"/>
      <c r="G24" s="2043"/>
      <c r="H24" s="2044"/>
      <c r="I24" s="2045" t="s">
        <v>3682</v>
      </c>
      <c r="J24" s="2045" t="s">
        <v>1893</v>
      </c>
      <c r="K24" s="2046"/>
      <c r="L24" s="2047"/>
      <c r="S24" s="754"/>
    </row>
    <row r="25" spans="2:19" ht="22" customHeight="1" x14ac:dyDescent="0.3">
      <c r="B25" s="1605" t="s">
        <v>1894</v>
      </c>
      <c r="C25" s="1832"/>
      <c r="D25" s="1832"/>
      <c r="E25" s="1832"/>
      <c r="F25" s="1832"/>
      <c r="G25" s="1593"/>
      <c r="H25" s="1593"/>
      <c r="I25" s="1593"/>
      <c r="J25" s="1593"/>
      <c r="K25" s="1593"/>
      <c r="L25" s="1606"/>
      <c r="S25" s="412"/>
    </row>
    <row r="26" spans="2:19" ht="20" customHeight="1" x14ac:dyDescent="0.3">
      <c r="B26" s="998" t="s">
        <v>109</v>
      </c>
      <c r="C26" s="1874">
        <f>'4. Summary &amp; Totals'!C61</f>
        <v>787521</v>
      </c>
      <c r="D26" s="1875"/>
      <c r="E26" s="1875"/>
      <c r="F26" s="1875"/>
      <c r="G26" s="1875"/>
      <c r="H26" s="1876"/>
      <c r="I26" s="1601"/>
      <c r="J26" s="1887"/>
      <c r="K26" s="1887"/>
      <c r="L26" s="1888"/>
    </row>
    <row r="27" spans="2:19" ht="20" customHeight="1" x14ac:dyDescent="0.3">
      <c r="B27" s="999" t="s">
        <v>1673</v>
      </c>
      <c r="C27" s="1877">
        <f>'4. Summary &amp; Totals'!C37</f>
        <v>0.53970619544390042</v>
      </c>
      <c r="D27" s="1878"/>
      <c r="E27" s="1878"/>
      <c r="F27" s="1878"/>
      <c r="G27" s="1878"/>
      <c r="H27" s="1879"/>
      <c r="I27" s="1599"/>
      <c r="J27" s="1869"/>
      <c r="K27" s="1869"/>
      <c r="L27" s="1870"/>
    </row>
    <row r="28" spans="2:19" ht="20" customHeight="1" x14ac:dyDescent="0.3">
      <c r="B28" s="999" t="s">
        <v>3400</v>
      </c>
      <c r="C28" s="1880" t="s">
        <v>3687</v>
      </c>
      <c r="D28" s="1881"/>
      <c r="E28" s="1881"/>
      <c r="F28" s="1881"/>
      <c r="G28" s="1881"/>
      <c r="H28" s="1882"/>
      <c r="I28" s="1599"/>
      <c r="J28" s="1869"/>
      <c r="K28" s="1869"/>
      <c r="L28" s="1870"/>
    </row>
    <row r="29" spans="2:19" ht="20" customHeight="1" x14ac:dyDescent="0.3">
      <c r="B29" s="1547"/>
      <c r="C29" s="1883" t="s">
        <v>1895</v>
      </c>
      <c r="D29" s="1884"/>
      <c r="E29" s="1884"/>
      <c r="F29" s="1885"/>
      <c r="G29" s="1883" t="s">
        <v>1896</v>
      </c>
      <c r="H29" s="1886"/>
      <c r="I29" s="1600"/>
      <c r="J29" s="1869"/>
      <c r="K29" s="1869"/>
      <c r="L29" s="1870"/>
    </row>
    <row r="30" spans="2:19" ht="20" customHeight="1" x14ac:dyDescent="0.3">
      <c r="B30" s="999" t="s">
        <v>1897</v>
      </c>
      <c r="C30" s="1791">
        <f>'4. Summary &amp; Totals'!C54</f>
        <v>110.37463976945244</v>
      </c>
      <c r="D30" s="1792"/>
      <c r="E30" s="1792"/>
      <c r="F30" s="1793"/>
      <c r="G30" s="1787">
        <f>'2. Roles &amp; Pricing'!F289/'2. Roles &amp; Pricing'!M289</f>
        <v>49.556195965417871</v>
      </c>
      <c r="H30" s="1788"/>
      <c r="I30" s="1599" t="str">
        <f>IF(OR(C30="",E30=""),"MISSING INFO","")</f>
        <v>MISSING INFO</v>
      </c>
      <c r="J30" s="1869"/>
      <c r="K30" s="1869"/>
      <c r="L30" s="1870"/>
    </row>
    <row r="31" spans="2:19" ht="20" customHeight="1" x14ac:dyDescent="0.3">
      <c r="B31" s="999" t="s">
        <v>1898</v>
      </c>
      <c r="C31" s="1791">
        <f>'4. Summary &amp; Totals'!C86</f>
        <v>171.66666666666666</v>
      </c>
      <c r="D31" s="1792"/>
      <c r="E31" s="1792"/>
      <c r="F31" s="1793"/>
      <c r="G31" s="1787">
        <f>SUMIFS('2. Roles &amp; Pricing'!$F$291:$F$390,'2. Roles &amp; Pricing'!$W$48:$W$147,"Onshore")/SUMIFS('2. Roles &amp; Pricing'!$M$291:$M$390,'2. Roles &amp; Pricing'!$W$48:$W$147,"Onshore")</f>
        <v>81.666666666666671</v>
      </c>
      <c r="H31" s="1788"/>
      <c r="I31" s="1599" t="str">
        <f>IF(OR(C31="",E31=""),"MISSING INFO","")</f>
        <v>MISSING INFO</v>
      </c>
      <c r="J31" s="1869"/>
      <c r="K31" s="1869"/>
      <c r="L31" s="1870"/>
    </row>
    <row r="32" spans="2:19" ht="20" customHeight="1" x14ac:dyDescent="0.3">
      <c r="B32" s="1000" t="s">
        <v>1899</v>
      </c>
      <c r="C32" s="1794">
        <f>'4. Summary &amp; Totals'!C85</f>
        <v>48.684210526315788</v>
      </c>
      <c r="D32" s="1795"/>
      <c r="E32" s="1795"/>
      <c r="F32" s="1796"/>
      <c r="G32" s="1789">
        <f>IFERROR(SUMIFS('2. Roles &amp; Pricing'!$F$291:$F$390,'2. Roles &amp; Pricing'!$W$48:$W$147,"Offshore")/SUMIFS('2. Roles &amp; Pricing'!$M$291:$M$390,'2. Roles &amp; Pricing'!$W$48:$W$147,"Offshore"),"")</f>
        <v>16.421052631578949</v>
      </c>
      <c r="H32" s="1790"/>
      <c r="I32" s="1602"/>
      <c r="J32" s="1797"/>
      <c r="K32" s="1797"/>
      <c r="L32" s="1798"/>
    </row>
    <row r="33" spans="2:12" x14ac:dyDescent="0.3">
      <c r="B33" s="1001"/>
      <c r="C33" s="1001"/>
      <c r="D33" s="1001"/>
      <c r="E33" s="1001"/>
      <c r="F33" s="1001"/>
      <c r="G33" s="1002"/>
      <c r="H33" s="1003"/>
      <c r="I33" s="1003"/>
      <c r="J33" s="1003"/>
    </row>
    <row r="34" spans="2:12" ht="22" customHeight="1" x14ac:dyDescent="0.3">
      <c r="B34" s="1813" t="s">
        <v>1900</v>
      </c>
      <c r="C34" s="1822"/>
      <c r="D34" s="1822"/>
      <c r="E34" s="1822"/>
      <c r="F34" s="1822"/>
      <c r="G34" s="1822"/>
      <c r="H34" s="1822"/>
      <c r="I34" s="1833"/>
      <c r="J34" s="1799"/>
      <c r="K34" s="1800"/>
      <c r="L34" s="1801"/>
    </row>
    <row r="35" spans="2:12" ht="22" customHeight="1" x14ac:dyDescent="0.3">
      <c r="B35" s="1603" t="s">
        <v>1901</v>
      </c>
      <c r="C35" s="1826" t="str">
        <f>'1. Project Inputs'!C28</f>
        <v>T&amp;M</v>
      </c>
      <c r="D35" s="1827"/>
      <c r="E35" s="1827"/>
      <c r="F35" s="1827"/>
      <c r="G35" s="1827"/>
      <c r="H35" s="1828"/>
      <c r="I35" s="1604" t="str">
        <f>IFERROR(IF(VLOOKUP(C35,P75:R78,3,0)=0,"",VLOOKUP(C35,P75:R78,3,0)),"MISSING INFO")</f>
        <v>MISSING INFO</v>
      </c>
      <c r="J35" s="1802"/>
      <c r="K35" s="1803"/>
      <c r="L35" s="1804"/>
    </row>
    <row r="36" spans="2:12" ht="22" customHeight="1" x14ac:dyDescent="0.3">
      <c r="B36" s="1000" t="s">
        <v>1902</v>
      </c>
      <c r="C36" s="1829">
        <f>'4. Summary &amp; Totals'!C56</f>
        <v>0.05</v>
      </c>
      <c r="D36" s="1830"/>
      <c r="E36" s="1830"/>
      <c r="F36" s="1830"/>
      <c r="G36" s="1830"/>
      <c r="H36" s="1831"/>
      <c r="I36" s="1004" t="str">
        <f>IF(C36="","MISSING INFO",IFERROR(IF(C36&lt;VLOOKUP(C35,P75:Q78,2,0),"&lt;"&amp;TEXT(VLOOKUP(C35,P75:Q78,2,0),"0%"),""),"MISSING INFO"))</f>
        <v>MISSING INFO</v>
      </c>
      <c r="J36" s="1865"/>
      <c r="K36" s="1866"/>
      <c r="L36" s="1867"/>
    </row>
    <row r="37" spans="2:12" x14ac:dyDescent="0.3">
      <c r="B37" s="751"/>
      <c r="C37" s="751"/>
      <c r="D37" s="751"/>
      <c r="E37" s="751"/>
      <c r="F37" s="751"/>
      <c r="G37" s="752"/>
      <c r="H37" s="753"/>
      <c r="I37" s="753"/>
      <c r="J37" s="753"/>
    </row>
    <row r="38" spans="2:12" ht="24" customHeight="1" x14ac:dyDescent="0.3">
      <c r="B38" s="1889" t="s">
        <v>1903</v>
      </c>
      <c r="C38" s="1890"/>
      <c r="D38" s="1890"/>
      <c r="E38" s="1890"/>
      <c r="F38" s="1890"/>
      <c r="G38" s="1890"/>
      <c r="H38" s="1890"/>
      <c r="I38" s="1890"/>
      <c r="J38" s="1890"/>
      <c r="K38" s="1890"/>
      <c r="L38" s="1815"/>
    </row>
    <row r="39" spans="2:12" ht="25" customHeight="1" x14ac:dyDescent="0.3">
      <c r="B39" s="998" t="s">
        <v>1904</v>
      </c>
      <c r="C39" s="1892">
        <f>COUNTA('2. Roles &amp; Pricing'!$K$48:$K$147)</f>
        <v>6</v>
      </c>
      <c r="D39" s="1893"/>
      <c r="E39" s="1893"/>
      <c r="F39" s="1893"/>
      <c r="G39" s="1893"/>
      <c r="H39" s="1894"/>
      <c r="I39" s="1005" t="str">
        <f>IF(G39="","MISSING INFO","")</f>
        <v>MISSING INFO</v>
      </c>
      <c r="J39" s="1901"/>
      <c r="K39" s="1887"/>
      <c r="L39" s="1888"/>
    </row>
    <row r="40" spans="2:12" ht="30" customHeight="1" x14ac:dyDescent="0.3">
      <c r="B40" s="999" t="s">
        <v>1905</v>
      </c>
      <c r="C40" s="1895" t="s">
        <v>216</v>
      </c>
      <c r="D40" s="1896"/>
      <c r="E40" s="1896"/>
      <c r="F40" s="1896"/>
      <c r="G40" s="1896"/>
      <c r="H40" s="1897"/>
      <c r="I40" s="997" t="str">
        <f>IFERROR(IF(VLOOKUP(C40,P82:R83,3,0)=0,"",VLOOKUP(C40,P82:R83,3,0)),"MISSING INFO")</f>
        <v>MISSING INFO</v>
      </c>
      <c r="J40" s="1868"/>
      <c r="K40" s="1869"/>
      <c r="L40" s="1870"/>
    </row>
    <row r="41" spans="2:12" ht="14.5" customHeight="1" x14ac:dyDescent="0.3">
      <c r="B41" s="999" t="s">
        <v>1907</v>
      </c>
      <c r="C41" s="1898" t="str">
        <f>IF(SUM(G42:G49)&lt;&gt;0,SUM(G42:G49),"")</f>
        <v/>
      </c>
      <c r="D41" s="1899"/>
      <c r="E41" s="1899"/>
      <c r="F41" s="1899"/>
      <c r="G41" s="1899"/>
      <c r="H41" s="1900"/>
      <c r="I41" s="997" t="str">
        <f>IF(H41="","MISSING INFO",IF(H41&lt;Q85,"&lt;"&amp;TEXT(Q85,"0%"),""))</f>
        <v>MISSING INFO</v>
      </c>
      <c r="J41" s="1868"/>
      <c r="K41" s="1869"/>
      <c r="L41" s="1870"/>
    </row>
    <row r="42" spans="2:12" x14ac:dyDescent="0.3">
      <c r="B42" s="1006"/>
      <c r="C42" s="1807" t="s">
        <v>3401</v>
      </c>
      <c r="D42" s="1808"/>
      <c r="E42" s="1809" t="s">
        <v>119</v>
      </c>
      <c r="F42" s="1810"/>
      <c r="G42" s="1811" t="s">
        <v>1929</v>
      </c>
      <c r="H42" s="1812"/>
      <c r="I42" s="1555"/>
      <c r="J42" s="1868"/>
      <c r="K42" s="1869"/>
      <c r="L42" s="1870"/>
    </row>
    <row r="43" spans="2:12" ht="21" customHeight="1" x14ac:dyDescent="0.3">
      <c r="B43" s="1006"/>
      <c r="C43" s="1557" t="s">
        <v>2101</v>
      </c>
      <c r="D43" s="1557" t="s">
        <v>3402</v>
      </c>
      <c r="E43" s="1557" t="s">
        <v>2101</v>
      </c>
      <c r="F43" s="1557" t="s">
        <v>3402</v>
      </c>
      <c r="G43" s="1557" t="s">
        <v>2101</v>
      </c>
      <c r="H43" s="1557" t="s">
        <v>3402</v>
      </c>
      <c r="I43" s="1555"/>
      <c r="J43" s="1868"/>
      <c r="K43" s="1869"/>
      <c r="L43" s="1870"/>
    </row>
    <row r="44" spans="2:12" ht="21" customHeight="1" x14ac:dyDescent="0.3">
      <c r="B44" s="999" t="s">
        <v>1908</v>
      </c>
      <c r="C44" s="1557"/>
      <c r="D44" s="1557"/>
      <c r="E44" s="1557"/>
      <c r="F44" s="1557"/>
      <c r="G44" s="1557"/>
      <c r="H44" s="1557"/>
      <c r="I44" s="1555"/>
      <c r="J44" s="1868"/>
      <c r="K44" s="1869"/>
      <c r="L44" s="1870"/>
    </row>
    <row r="45" spans="2:12" ht="21" customHeight="1" x14ac:dyDescent="0.3">
      <c r="B45" s="999" t="s">
        <v>3403</v>
      </c>
      <c r="C45" s="1557"/>
      <c r="D45" s="1557"/>
      <c r="E45" s="1557"/>
      <c r="F45" s="1557"/>
      <c r="G45" s="1557"/>
      <c r="H45" s="1557"/>
      <c r="I45" s="1555"/>
      <c r="J45" s="1868"/>
      <c r="K45" s="1869"/>
      <c r="L45" s="1870"/>
    </row>
    <row r="46" spans="2:12" ht="21" customHeight="1" x14ac:dyDescent="0.3">
      <c r="B46" s="999" t="s">
        <v>3404</v>
      </c>
      <c r="C46" s="1557"/>
      <c r="D46" s="1557"/>
      <c r="E46" s="1557"/>
      <c r="F46" s="1557"/>
      <c r="G46" s="1557"/>
      <c r="H46" s="1557"/>
      <c r="I46" s="1555"/>
      <c r="J46" s="1868"/>
      <c r="K46" s="1869"/>
      <c r="L46" s="1870"/>
    </row>
    <row r="47" spans="2:12" ht="21" customHeight="1" x14ac:dyDescent="0.3">
      <c r="B47" s="999" t="s">
        <v>3405</v>
      </c>
      <c r="C47" s="1552"/>
      <c r="D47" s="1552"/>
      <c r="E47" s="1552"/>
      <c r="F47" s="1552"/>
      <c r="G47" s="1553"/>
      <c r="H47" s="1554"/>
      <c r="I47" s="1555"/>
      <c r="J47" s="1868"/>
      <c r="K47" s="1869"/>
      <c r="L47" s="1870"/>
    </row>
    <row r="48" spans="2:12" ht="21" customHeight="1" x14ac:dyDescent="0.3">
      <c r="B48" s="999" t="s">
        <v>3406</v>
      </c>
      <c r="C48" s="1552"/>
      <c r="D48" s="1552"/>
      <c r="E48" s="1552"/>
      <c r="F48" s="1552"/>
      <c r="G48" s="1553"/>
      <c r="H48" s="1554"/>
      <c r="I48" s="1555"/>
      <c r="J48" s="1868"/>
      <c r="K48" s="1869"/>
      <c r="L48" s="1870"/>
    </row>
    <row r="49" spans="2:12" ht="21" customHeight="1" x14ac:dyDescent="0.3">
      <c r="B49" s="999" t="s">
        <v>3407</v>
      </c>
      <c r="C49" s="1552"/>
      <c r="D49" s="1552"/>
      <c r="E49" s="1552"/>
      <c r="F49" s="1552"/>
      <c r="G49" s="1553"/>
      <c r="H49" s="1554"/>
      <c r="I49" s="1555"/>
      <c r="J49" s="1868"/>
      <c r="K49" s="1869"/>
      <c r="L49" s="1870"/>
    </row>
    <row r="50" spans="2:12" ht="45" customHeight="1" x14ac:dyDescent="0.3">
      <c r="B50" s="1000" t="s">
        <v>3408</v>
      </c>
      <c r="C50" s="1548"/>
      <c r="D50" s="1548"/>
      <c r="E50" s="1548"/>
      <c r="F50" s="1548"/>
      <c r="G50" s="1864"/>
      <c r="H50" s="1864"/>
      <c r="I50" s="1556"/>
      <c r="J50" s="1891"/>
      <c r="K50" s="1797"/>
      <c r="L50" s="1798"/>
    </row>
    <row r="51" spans="2:12" x14ac:dyDescent="0.3">
      <c r="B51" s="411"/>
      <c r="C51" s="411"/>
      <c r="D51" s="411"/>
      <c r="E51" s="411"/>
      <c r="F51" s="411"/>
      <c r="G51" s="411"/>
      <c r="H51" s="411"/>
      <c r="I51" s="411"/>
      <c r="J51" s="411"/>
    </row>
    <row r="52" spans="2:12" ht="24" customHeight="1" x14ac:dyDescent="0.3">
      <c r="B52" s="1813" t="s">
        <v>1909</v>
      </c>
      <c r="C52" s="1822"/>
      <c r="D52" s="1822"/>
      <c r="E52" s="1822"/>
      <c r="F52" s="1823"/>
      <c r="G52" s="1559"/>
      <c r="H52" s="1559"/>
      <c r="I52" s="1559"/>
      <c r="J52" s="1559"/>
    </row>
    <row r="53" spans="2:12" ht="45" customHeight="1" x14ac:dyDescent="0.3">
      <c r="B53" s="998" t="s">
        <v>1910</v>
      </c>
      <c r="C53" s="1816" t="s">
        <v>216</v>
      </c>
      <c r="D53" s="1817"/>
      <c r="E53" s="1817"/>
      <c r="F53" s="1818"/>
      <c r="G53" s="1560"/>
      <c r="H53" s="1560"/>
      <c r="I53" s="1561"/>
      <c r="J53" s="1562"/>
    </row>
    <row r="54" spans="2:12" ht="45" customHeight="1" x14ac:dyDescent="0.3">
      <c r="B54" s="1000" t="s">
        <v>1911</v>
      </c>
      <c r="C54" s="1819" t="s">
        <v>216</v>
      </c>
      <c r="D54" s="1820"/>
      <c r="E54" s="1820"/>
      <c r="F54" s="1821"/>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813" t="s">
        <v>1912</v>
      </c>
      <c r="C56" s="1814"/>
      <c r="D56" s="1814"/>
      <c r="E56" s="1814"/>
      <c r="F56" s="1814"/>
      <c r="G56" s="1815"/>
      <c r="H56" s="1559"/>
      <c r="I56" s="1559"/>
      <c r="J56" s="1559"/>
    </row>
    <row r="57" spans="2:12" ht="30" customHeight="1" x14ac:dyDescent="0.3">
      <c r="B57" s="1558" t="s">
        <v>1913</v>
      </c>
      <c r="C57" s="1824" t="s">
        <v>2297</v>
      </c>
      <c r="D57" s="1825"/>
      <c r="E57" s="1825"/>
      <c r="F57" s="1825"/>
      <c r="G57" s="1564" t="str">
        <f>IFERROR(IF(VLOOKUP(C57,P102:R103,3,0)=0,"",VLOOKUP(C57,P102:R103,3,0)),"MISSING INFO")</f>
        <v>MISSING INFO</v>
      </c>
      <c r="H57" s="1560"/>
      <c r="I57" s="1560"/>
      <c r="J57" s="1563"/>
    </row>
    <row r="58" spans="2:12" x14ac:dyDescent="0.3">
      <c r="B58" s="1558" t="s">
        <v>1914</v>
      </c>
      <c r="C58" s="1805" t="s">
        <v>2296</v>
      </c>
      <c r="D58" s="1806"/>
      <c r="E58" s="1806"/>
      <c r="F58" s="1806"/>
      <c r="G58" s="1565" t="str">
        <f>IFERROR(IF(VLOOKUP(C58,P105:R107,3,0)=0,"",VLOOKUP(C58,P105:R107,3,0)),"MISSING INFO")</f>
        <v>MISSING INFO</v>
      </c>
      <c r="H58" s="1560"/>
      <c r="I58" s="1560"/>
      <c r="J58" s="1563"/>
    </row>
    <row r="59" spans="2:12" ht="24" customHeight="1" x14ac:dyDescent="0.3">
      <c r="B59" s="1558" t="s">
        <v>1915</v>
      </c>
      <c r="C59" s="1805" t="s">
        <v>2298</v>
      </c>
      <c r="D59" s="1806"/>
      <c r="E59" s="1806"/>
      <c r="F59" s="1806"/>
      <c r="G59" s="1565" t="str">
        <f>IFERROR(IF(VLOOKUP(C59,P109:R111,3,0)=0,"",VLOOKUP(C59,P109:R111,3,0)),"MISSING INFO")</f>
        <v>MISSING INFO</v>
      </c>
      <c r="H59" s="1560"/>
      <c r="I59" s="1560"/>
      <c r="J59" s="1562"/>
    </row>
    <row r="60" spans="2:12" ht="14" customHeight="1" x14ac:dyDescent="0.3">
      <c r="B60" s="1558" t="s">
        <v>3409</v>
      </c>
      <c r="C60" s="1805" t="s">
        <v>2300</v>
      </c>
      <c r="D60" s="1806"/>
      <c r="E60" s="1806"/>
      <c r="F60" s="1806"/>
      <c r="G60" s="1565" t="str">
        <f>IFERROR(IF(VLOOKUP(C60,P115:R121,3,0)=0,"",VLOOKUP(C60,P115:R121,3,0)),"MISSING INFO")</f>
        <v>MISSING INFO</v>
      </c>
      <c r="H60" s="1560"/>
      <c r="I60" s="1560"/>
      <c r="J60" s="1563"/>
    </row>
    <row r="61" spans="2:12" ht="14" customHeight="1" x14ac:dyDescent="0.3">
      <c r="B61" s="1558" t="s">
        <v>3410</v>
      </c>
      <c r="C61" s="1805" t="s">
        <v>2299</v>
      </c>
      <c r="D61" s="1806"/>
      <c r="E61" s="1806"/>
      <c r="F61" s="1806"/>
      <c r="G61" s="1565" t="str">
        <f>IFERROR(IF(VLOOKUP(C61,P123:R124,3,0)=0,"",VLOOKUP(C61,P123:R124,3,0)),"MISSING INFO")</f>
        <v>MISSING INFO</v>
      </c>
      <c r="H61" s="1560"/>
      <c r="I61" s="1560"/>
      <c r="J61" s="1563"/>
    </row>
    <row r="62" spans="2:12" x14ac:dyDescent="0.3">
      <c r="B62" s="1558" t="s">
        <v>1916</v>
      </c>
      <c r="C62" s="1805" t="s">
        <v>2299</v>
      </c>
      <c r="D62" s="1806"/>
      <c r="E62" s="1806"/>
      <c r="F62" s="1806"/>
      <c r="G62" s="1565"/>
      <c r="H62" s="1560"/>
      <c r="I62" s="1560"/>
      <c r="J62" s="1563"/>
    </row>
    <row r="63" spans="2:12" x14ac:dyDescent="0.3">
      <c r="B63" s="1558" t="s">
        <v>3411</v>
      </c>
      <c r="C63" s="1856" t="s">
        <v>216</v>
      </c>
      <c r="D63" s="1857"/>
      <c r="E63" s="1857"/>
      <c r="F63" s="1857"/>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858" t="s">
        <v>1919</v>
      </c>
      <c r="D67" s="1859"/>
      <c r="E67" s="1859"/>
      <c r="F67" s="1860"/>
      <c r="G67" s="1862" t="s">
        <v>1919</v>
      </c>
      <c r="H67" s="1862"/>
      <c r="I67" s="1862"/>
      <c r="J67" s="1863"/>
    </row>
    <row r="68" spans="2:18" ht="42" customHeight="1" x14ac:dyDescent="0.3">
      <c r="B68" s="1160" t="str" cm="1">
        <f t="array" ref="B68">IF(COUNTIF(I26:I61,"="&amp;"MISSING INFO")&gt;0,P143,IF(SUMPRODUCT(--(LEN(I26:I61)))&gt;0,P141,P142))</f>
        <v>Missing Information</v>
      </c>
      <c r="C68" s="1549"/>
      <c r="D68" s="1549"/>
      <c r="E68" s="1549"/>
      <c r="F68" s="1549"/>
      <c r="G68" s="1871" t="str">
        <f>VLOOKUP(B68,P141:Q143,2,0)</f>
        <v>Complete all required fields above to clear all "MISSING INFO" error messages.</v>
      </c>
      <c r="H68" s="1872"/>
      <c r="I68" s="1872"/>
      <c r="J68" s="1873"/>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861" t="s">
        <v>1901</v>
      </c>
      <c r="Q73" s="1861"/>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861" t="s">
        <v>1909</v>
      </c>
      <c r="Q88" s="1861"/>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107" priority="20" operator="equal">
      <formula>$P$142</formula>
    </cfRule>
    <cfRule type="cellIs" dxfId="106" priority="21" operator="equal">
      <formula>$P$143</formula>
    </cfRule>
    <cfRule type="cellIs" dxfId="105" priority="22" operator="equal">
      <formula>$P$141</formula>
    </cfRule>
  </conditionalFormatting>
  <conditionalFormatting sqref="I12 I35:I37 I39:I56 G57:G63 I64">
    <cfRule type="cellIs" dxfId="104" priority="14" stopIfTrue="1" operator="equal">
      <formula>"MISSING INFO"</formula>
    </cfRule>
    <cfRule type="cellIs" dxfId="103" priority="15" operator="notEqual">
      <formula>""</formula>
    </cfRule>
  </conditionalFormatting>
  <conditionalFormatting sqref="I26:I33">
    <cfRule type="cellIs" dxfId="102" priority="1" stopIfTrue="1" operator="equal">
      <formula>"MISSING INFO"</formula>
    </cfRule>
    <cfRule type="cellIs" dxfId="101" priority="2" operator="notEqual">
      <formula>""</formula>
    </cfRule>
  </conditionalFormatting>
  <conditionalFormatting sqref="J12">
    <cfRule type="expression" dxfId="100" priority="13">
      <formula>AND(J12="",I12&lt;&gt;"")</formula>
    </cfRule>
  </conditionalFormatting>
  <conditionalFormatting sqref="J26:J32">
    <cfRule type="cellIs" dxfId="99" priority="5" stopIfTrue="1" operator="equal">
      <formula>"MISSING INFO"</formula>
    </cfRule>
    <cfRule type="cellIs" dxfId="98" priority="6" operator="notEqual">
      <formula>""</formula>
    </cfRule>
  </conditionalFormatting>
  <conditionalFormatting sqref="J39:J50">
    <cfRule type="cellIs" dxfId="97" priority="7" stopIfTrue="1" operator="equal">
      <formula>"MISSING INFO"</formula>
    </cfRule>
    <cfRule type="cellIs" dxfId="96" priority="8" operator="notEqual">
      <formula>""</formula>
    </cfRule>
  </conditionalFormatting>
  <conditionalFormatting sqref="L3">
    <cfRule type="expression" dxfId="95" priority="16">
      <formula>$L$3="ROPE Ready for Upload"</formula>
    </cfRule>
    <cfRule type="expression" dxfId="94"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1936"/>
      <c r="X1" s="1936"/>
      <c r="Y1" s="1936"/>
    </row>
    <row r="2" spans="1:25" s="469" customFormat="1" ht="20.25" customHeight="1" x14ac:dyDescent="0.3">
      <c r="C2" s="818" t="s">
        <v>2306</v>
      </c>
      <c r="D2" s="698"/>
      <c r="E2" s="698"/>
      <c r="F2" s="699"/>
      <c r="G2" s="700"/>
      <c r="H2" s="700"/>
      <c r="I2" s="700"/>
      <c r="J2" s="700"/>
      <c r="L2" s="1697"/>
      <c r="M2" s="1697"/>
      <c r="N2" s="1697"/>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1937" t="s">
        <v>3262</v>
      </c>
      <c r="D5" s="1937"/>
      <c r="E5" s="1937"/>
      <c r="F5" s="1937"/>
      <c r="G5" s="1470"/>
      <c r="H5" s="1470"/>
      <c r="I5" s="1470"/>
      <c r="J5" s="1470"/>
      <c r="L5" s="805"/>
      <c r="M5" s="805"/>
      <c r="N5" s="805"/>
      <c r="O5" s="1471"/>
      <c r="P5" s="1471"/>
      <c r="Q5" s="1471"/>
      <c r="R5" s="1471"/>
      <c r="W5" s="1072"/>
      <c r="X5" s="1073"/>
      <c r="Y5" s="1073"/>
    </row>
    <row r="6" spans="1:25" s="812" customFormat="1" ht="20" customHeight="1" x14ac:dyDescent="0.35">
      <c r="C6" s="1934" t="s">
        <v>3263</v>
      </c>
      <c r="D6" s="1934"/>
      <c r="E6" s="1934"/>
      <c r="F6" s="1934"/>
      <c r="G6" s="815"/>
      <c r="H6" s="815"/>
      <c r="I6" s="815"/>
      <c r="J6" s="815"/>
      <c r="L6" s="805"/>
      <c r="M6" s="805"/>
      <c r="N6" s="805"/>
      <c r="O6" s="816"/>
      <c r="P6" s="816"/>
      <c r="Q6" s="816"/>
      <c r="R6" s="816"/>
      <c r="W6" s="1072"/>
      <c r="X6" s="1073"/>
      <c r="Y6" s="1073"/>
    </row>
    <row r="7" spans="1:25" s="812" customFormat="1" ht="20" customHeight="1" x14ac:dyDescent="0.35">
      <c r="C7" s="1935" t="s">
        <v>2274</v>
      </c>
      <c r="D7" s="1935"/>
      <c r="E7" s="1935"/>
      <c r="F7" s="1935"/>
      <c r="G7" s="815"/>
      <c r="H7" s="815"/>
      <c r="I7" s="815"/>
      <c r="J7" s="815"/>
      <c r="L7" s="805"/>
      <c r="M7" s="805"/>
      <c r="N7" s="805"/>
      <c r="O7" s="816"/>
      <c r="P7" s="816"/>
      <c r="Q7" s="816"/>
      <c r="R7" s="816"/>
      <c r="W7" s="1072"/>
      <c r="X7" s="1073"/>
      <c r="Y7" s="1073"/>
    </row>
    <row r="8" spans="1:25" s="812" customFormat="1" ht="29.5" customHeight="1" x14ac:dyDescent="0.35">
      <c r="C8" s="1935" t="s">
        <v>2275</v>
      </c>
      <c r="D8" s="1935"/>
      <c r="E8" s="1935"/>
      <c r="F8" s="1935"/>
      <c r="G8" s="815"/>
      <c r="H8" s="815"/>
      <c r="I8" s="815"/>
      <c r="J8" s="815"/>
      <c r="L8" s="805"/>
      <c r="M8" s="805"/>
      <c r="N8" s="805"/>
      <c r="O8" s="816"/>
      <c r="P8" s="816"/>
      <c r="Q8" s="816"/>
      <c r="R8" s="816"/>
      <c r="W8" s="1072"/>
      <c r="X8" s="1073"/>
      <c r="Y8" s="1073"/>
    </row>
    <row r="9" spans="1:25" s="812" customFormat="1" ht="29.5" customHeight="1" x14ac:dyDescent="0.35">
      <c r="C9" s="1935" t="s">
        <v>3264</v>
      </c>
      <c r="D9" s="1935"/>
      <c r="E9" s="1935"/>
      <c r="F9" s="1935"/>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1917"/>
      <c r="N11" s="1917"/>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1933"/>
      <c r="N12" s="1933"/>
      <c r="O12" s="660"/>
      <c r="P12" s="660"/>
      <c r="Q12" s="660"/>
      <c r="R12" s="660"/>
      <c r="W12" s="1074"/>
      <c r="X12" s="1075"/>
      <c r="Y12" s="1075"/>
    </row>
    <row r="13" spans="1:25" ht="17.5" x14ac:dyDescent="0.3">
      <c r="C13" s="1930" t="s">
        <v>2199</v>
      </c>
      <c r="D13" s="1931"/>
      <c r="E13" s="395"/>
      <c r="F13" s="1922"/>
      <c r="G13" s="1922"/>
      <c r="H13" s="665"/>
      <c r="I13" s="665"/>
      <c r="J13" s="665"/>
      <c r="K13" s="484"/>
      <c r="L13" s="664"/>
      <c r="M13" s="1933"/>
      <c r="N13" s="1933"/>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1933"/>
      <c r="N14" s="1933"/>
      <c r="O14" s="666"/>
      <c r="P14" s="666"/>
      <c r="Q14" s="666"/>
      <c r="R14" s="666"/>
      <c r="S14" s="413"/>
      <c r="T14" s="413"/>
      <c r="U14" s="667"/>
      <c r="V14" s="667"/>
      <c r="W14" s="1077"/>
      <c r="X14" s="1932"/>
      <c r="Y14" s="1932"/>
    </row>
    <row r="15" spans="1:25" ht="18" customHeight="1" x14ac:dyDescent="0.3">
      <c r="C15" s="867" t="s">
        <v>17</v>
      </c>
      <c r="D15" s="991" t="str">
        <f>'1. Project Inputs'!C18</f>
        <v>C Spire</v>
      </c>
      <c r="F15" s="1902"/>
      <c r="G15" s="411"/>
      <c r="H15" s="411"/>
      <c r="I15" s="411"/>
      <c r="J15" s="411"/>
      <c r="K15" s="671"/>
      <c r="L15" s="672"/>
      <c r="M15" s="1933"/>
      <c r="N15" s="1933"/>
      <c r="O15" s="673"/>
      <c r="P15" s="673"/>
      <c r="Q15" s="673"/>
      <c r="R15" s="673"/>
      <c r="S15" s="413"/>
      <c r="T15" s="413"/>
      <c r="U15" s="1921"/>
      <c r="V15" s="411"/>
      <c r="W15" s="399"/>
    </row>
    <row r="16" spans="1:25" ht="18" customHeight="1" x14ac:dyDescent="0.3">
      <c r="C16" s="867" t="s">
        <v>47</v>
      </c>
      <c r="D16" s="1021" t="str">
        <f>'1. Project Inputs'!C19</f>
        <v>TA Digital</v>
      </c>
      <c r="F16" s="1902"/>
      <c r="G16" s="411"/>
      <c r="H16" s="411"/>
      <c r="I16" s="411"/>
      <c r="J16" s="411"/>
      <c r="K16" s="671"/>
      <c r="L16" s="671"/>
      <c r="M16" s="641"/>
      <c r="N16" s="647"/>
      <c r="O16" s="673"/>
      <c r="P16" s="673"/>
      <c r="Q16" s="673"/>
      <c r="R16" s="673"/>
      <c r="S16" s="413"/>
      <c r="T16" s="413"/>
      <c r="U16" s="1921"/>
      <c r="V16" s="411"/>
      <c r="W16" s="399"/>
    </row>
    <row r="17" spans="3:23" ht="17.25" customHeight="1" x14ac:dyDescent="0.3">
      <c r="C17" s="867" t="s">
        <v>48</v>
      </c>
      <c r="D17" s="991" t="str">
        <f>'1. Project Inputs'!C20</f>
        <v>No</v>
      </c>
      <c r="F17" s="1902"/>
      <c r="G17" s="411"/>
      <c r="H17" s="411"/>
      <c r="I17" s="411"/>
      <c r="J17" s="411"/>
      <c r="K17" s="671"/>
      <c r="L17" s="671"/>
      <c r="M17" s="641"/>
      <c r="N17" s="647"/>
      <c r="O17" s="673"/>
      <c r="P17" s="673"/>
      <c r="Q17" s="673"/>
      <c r="R17" s="673"/>
      <c r="S17" s="413"/>
      <c r="T17" s="413"/>
      <c r="U17" s="1921"/>
      <c r="V17" s="411"/>
      <c r="W17" s="399"/>
    </row>
    <row r="18" spans="3:23" ht="16" customHeight="1" x14ac:dyDescent="0.3">
      <c r="C18" s="962" t="s">
        <v>2064</v>
      </c>
      <c r="D18" s="991">
        <f>'1. Project Inputs'!C22</f>
        <v>1324</v>
      </c>
      <c r="E18" s="519"/>
      <c r="F18" s="1902"/>
      <c r="G18" s="411"/>
      <c r="H18" s="411"/>
      <c r="I18" s="411"/>
      <c r="J18" s="411"/>
      <c r="K18" s="671"/>
      <c r="L18" s="671"/>
      <c r="M18" s="641"/>
      <c r="N18" s="647"/>
      <c r="O18" s="673"/>
      <c r="P18" s="673"/>
      <c r="Q18" s="673"/>
      <c r="R18" s="673"/>
      <c r="S18" s="413"/>
      <c r="T18" s="413"/>
      <c r="U18" s="1921"/>
      <c r="V18" s="411"/>
      <c r="W18" s="399"/>
    </row>
    <row r="19" spans="3:23" ht="16" customHeight="1" x14ac:dyDescent="0.3">
      <c r="C19" s="962" t="s">
        <v>22</v>
      </c>
      <c r="D19" s="991" t="str">
        <f>'1. Project Inputs'!C23</f>
        <v>Test Digital Project</v>
      </c>
      <c r="E19" s="519"/>
      <c r="F19" s="1902"/>
      <c r="G19" s="411"/>
      <c r="H19" s="411"/>
      <c r="I19" s="411"/>
      <c r="J19" s="411"/>
      <c r="K19" s="671"/>
      <c r="L19" s="671"/>
      <c r="M19" s="641"/>
      <c r="N19" s="647"/>
      <c r="O19" s="673"/>
      <c r="P19" s="673"/>
      <c r="Q19" s="673"/>
      <c r="R19" s="673"/>
      <c r="S19" s="413"/>
      <c r="T19" s="413"/>
      <c r="U19" s="1921"/>
      <c r="V19" s="411"/>
      <c r="W19" s="399"/>
    </row>
    <row r="20" spans="3:23" ht="16" customHeight="1" x14ac:dyDescent="0.3">
      <c r="C20" s="962" t="s">
        <v>23</v>
      </c>
      <c r="D20" s="1021" t="str">
        <f>'1. Project Inputs'!C24</f>
        <v>Digital - Systems Implementation</v>
      </c>
      <c r="E20" s="519"/>
      <c r="F20" s="1902"/>
      <c r="G20" s="411"/>
      <c r="H20" s="411"/>
      <c r="I20" s="411"/>
      <c r="J20" s="411"/>
      <c r="K20" s="671"/>
      <c r="L20" s="671"/>
      <c r="M20" s="641"/>
      <c r="N20" s="675"/>
      <c r="O20" s="676"/>
      <c r="P20" s="676"/>
      <c r="Q20" s="676"/>
      <c r="R20" s="676"/>
      <c r="S20" s="413"/>
      <c r="T20" s="413"/>
      <c r="U20" s="1921"/>
      <c r="V20" s="411"/>
      <c r="W20" s="399"/>
    </row>
    <row r="21" spans="3:23" ht="16" customHeight="1" x14ac:dyDescent="0.3">
      <c r="C21" s="962" t="s">
        <v>49</v>
      </c>
      <c r="D21" s="1021" t="str">
        <f>'1. Project Inputs'!C25</f>
        <v>Standard Rates</v>
      </c>
      <c r="E21" s="519"/>
      <c r="F21" s="1902"/>
      <c r="G21" s="411"/>
      <c r="H21" s="411"/>
      <c r="I21" s="411"/>
      <c r="J21" s="411"/>
      <c r="K21" s="671"/>
      <c r="L21" s="671"/>
      <c r="M21" s="641"/>
      <c r="N21" s="677"/>
      <c r="O21" s="678"/>
      <c r="P21" s="678"/>
      <c r="Q21" s="678"/>
      <c r="R21" s="678"/>
      <c r="S21" s="413"/>
      <c r="T21" s="413"/>
      <c r="U21" s="1921"/>
      <c r="V21" s="411"/>
      <c r="W21" s="399"/>
    </row>
    <row r="22" spans="3:23" ht="31" customHeight="1" x14ac:dyDescent="0.3">
      <c r="C22" s="1022" t="s">
        <v>25</v>
      </c>
      <c r="D22" s="1021" t="str">
        <f>IF(ISBLANK('1. Project Inputs'!C26)," ",'1. Project Inputs'!C26)</f>
        <v xml:space="preserve"> </v>
      </c>
      <c r="F22" s="1902"/>
      <c r="G22" s="411"/>
      <c r="H22" s="411"/>
      <c r="I22" s="411"/>
      <c r="J22" s="411"/>
      <c r="K22" s="671"/>
      <c r="L22" s="671"/>
      <c r="M22" s="641"/>
      <c r="N22" s="677"/>
      <c r="O22" s="679"/>
      <c r="P22" s="679"/>
      <c r="Q22" s="679"/>
      <c r="R22" s="679"/>
      <c r="S22" s="413"/>
      <c r="T22" s="413"/>
      <c r="U22" s="1921"/>
      <c r="V22" s="411"/>
      <c r="W22" s="399"/>
    </row>
    <row r="23" spans="3:23" ht="16" customHeight="1" x14ac:dyDescent="0.3">
      <c r="C23" s="867" t="s">
        <v>26</v>
      </c>
      <c r="D23" s="1023">
        <f>'1. Project Inputs'!C27</f>
        <v>45916</v>
      </c>
      <c r="F23" s="1902"/>
      <c r="G23" s="411"/>
      <c r="H23" s="411"/>
      <c r="I23" s="411"/>
      <c r="J23" s="411"/>
      <c r="K23" s="671"/>
      <c r="L23" s="671"/>
      <c r="M23" s="641"/>
      <c r="N23" s="680"/>
      <c r="O23" s="673"/>
      <c r="P23" s="673"/>
      <c r="Q23" s="673"/>
      <c r="R23" s="673"/>
      <c r="S23" s="413"/>
      <c r="T23" s="413"/>
      <c r="U23" s="1921"/>
      <c r="V23" s="411"/>
      <c r="W23" s="399"/>
    </row>
    <row r="24" spans="3:23" ht="17.25" customHeight="1" x14ac:dyDescent="0.3">
      <c r="C24" s="867" t="s">
        <v>50</v>
      </c>
      <c r="D24" s="1024">
        <f>'1. Project Inputs'!C29</f>
        <v>30</v>
      </c>
      <c r="E24" s="681"/>
      <c r="F24" s="1902"/>
      <c r="G24" s="411"/>
      <c r="H24" s="411"/>
      <c r="I24" s="411"/>
      <c r="J24" s="411"/>
      <c r="K24" s="671"/>
      <c r="L24" s="671"/>
      <c r="M24" s="641"/>
      <c r="N24" s="505"/>
      <c r="O24" s="505"/>
      <c r="P24" s="505"/>
      <c r="Q24" s="505"/>
      <c r="R24" s="505"/>
      <c r="S24" s="413"/>
      <c r="T24" s="413"/>
      <c r="U24" s="1921"/>
      <c r="V24" s="411"/>
      <c r="W24" s="399"/>
    </row>
    <row r="25" spans="3:23" ht="15" x14ac:dyDescent="0.3">
      <c r="C25" s="867" t="s">
        <v>27</v>
      </c>
      <c r="D25" s="1024" t="str">
        <f>'1. Project Inputs'!C28</f>
        <v>T&amp;M</v>
      </c>
      <c r="E25" s="681"/>
      <c r="F25" s="1902"/>
      <c r="G25" s="411"/>
      <c r="H25" s="411"/>
      <c r="I25" s="411"/>
      <c r="J25" s="411"/>
      <c r="K25" s="671"/>
      <c r="L25" s="671"/>
      <c r="M25" s="641"/>
      <c r="N25" s="505"/>
      <c r="O25" s="505"/>
      <c r="P25" s="505"/>
      <c r="Q25" s="505"/>
      <c r="R25" s="505"/>
      <c r="S25" s="413"/>
      <c r="T25" s="413"/>
      <c r="U25" s="1921"/>
      <c r="V25" s="411"/>
      <c r="W25" s="399"/>
    </row>
    <row r="26" spans="3:23" ht="19" customHeight="1" x14ac:dyDescent="0.3">
      <c r="C26" s="962" t="s">
        <v>16</v>
      </c>
      <c r="D26" s="1473" t="str">
        <f>IF(ISBLANK('1. Project Inputs'!G17),"",'1. Project Inputs'!G17)</f>
        <v/>
      </c>
      <c r="E26" s="681"/>
      <c r="F26" s="1902"/>
      <c r="G26" s="411"/>
      <c r="H26" s="411"/>
      <c r="I26" s="411"/>
      <c r="J26" s="411"/>
      <c r="K26" s="671"/>
      <c r="L26" s="671"/>
      <c r="M26" s="641"/>
      <c r="N26" s="505"/>
      <c r="O26" s="505"/>
      <c r="P26" s="505"/>
      <c r="Q26" s="505"/>
      <c r="R26" s="505"/>
      <c r="S26" s="413"/>
      <c r="T26" s="413"/>
      <c r="U26" s="1921"/>
      <c r="V26" s="411"/>
      <c r="W26" s="399"/>
    </row>
    <row r="27" spans="3:23" ht="18" customHeight="1" x14ac:dyDescent="0.3">
      <c r="C27" s="962" t="s">
        <v>18</v>
      </c>
      <c r="D27" s="1473" t="str">
        <f>IF(ISBLANK('1. Project Inputs'!G18),"",'1. Project Inputs'!G18)</f>
        <v/>
      </c>
      <c r="E27" s="681"/>
      <c r="F27" s="1902"/>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02"/>
      <c r="G28" s="411"/>
      <c r="H28" s="430"/>
      <c r="I28" s="430"/>
      <c r="J28" s="430"/>
      <c r="K28" s="682"/>
      <c r="L28" s="682"/>
      <c r="U28" s="674"/>
      <c r="V28" s="411"/>
      <c r="W28" s="399"/>
    </row>
    <row r="29" spans="3:23" ht="7" customHeight="1" x14ac:dyDescent="0.3">
      <c r="C29" s="683"/>
      <c r="D29" s="684"/>
      <c r="E29" s="681"/>
      <c r="F29" s="1902"/>
      <c r="G29" s="411"/>
      <c r="H29" s="430"/>
      <c r="I29" s="430"/>
      <c r="J29" s="430"/>
      <c r="K29" s="682"/>
      <c r="L29" s="682"/>
      <c r="U29" s="674"/>
      <c r="V29" s="411"/>
      <c r="W29" s="399"/>
    </row>
    <row r="30" spans="3:23" ht="15" x14ac:dyDescent="0.3">
      <c r="C30" s="1026" t="s">
        <v>2202</v>
      </c>
      <c r="E30" s="681"/>
      <c r="F30" s="1902"/>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02"/>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02"/>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02"/>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02"/>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1909" t="s">
        <v>51</v>
      </c>
      <c r="C59" s="1911" t="s">
        <v>52</v>
      </c>
      <c r="D59" s="1913" t="s">
        <v>53</v>
      </c>
      <c r="E59" s="1915" t="s">
        <v>54</v>
      </c>
      <c r="F59" s="1923" t="s">
        <v>55</v>
      </c>
      <c r="G59" s="1913" t="s">
        <v>56</v>
      </c>
      <c r="H59" s="1399"/>
      <c r="I59" s="1399"/>
      <c r="J59" s="1399"/>
      <c r="K59" s="1913" t="s">
        <v>57</v>
      </c>
      <c r="L59" s="1903" t="s">
        <v>58</v>
      </c>
      <c r="M59" s="1906" t="s">
        <v>59</v>
      </c>
      <c r="N59" s="1907"/>
      <c r="O59" s="1907"/>
      <c r="P59" s="1906" t="s">
        <v>60</v>
      </c>
      <c r="Q59" s="1907"/>
      <c r="R59" s="1908"/>
      <c r="S59" s="1925" t="s">
        <v>61</v>
      </c>
      <c r="T59" s="1925" t="s">
        <v>62</v>
      </c>
    </row>
    <row r="60" spans="2:23" ht="21" customHeight="1" x14ac:dyDescent="0.3">
      <c r="B60" s="1910"/>
      <c r="C60" s="1912"/>
      <c r="D60" s="1914"/>
      <c r="E60" s="1916"/>
      <c r="F60" s="1924"/>
      <c r="G60" s="1914"/>
      <c r="H60" s="1400"/>
      <c r="I60" s="1400"/>
      <c r="J60" s="1400"/>
      <c r="K60" s="1914"/>
      <c r="L60" s="1904"/>
      <c r="M60" s="1927" t="str">
        <f>'1. Project Inputs'!C64</f>
        <v>Enter Option 1 Name</v>
      </c>
      <c r="N60" s="1927" t="str">
        <f>'1. Project Inputs'!C65</f>
        <v>Enter Option 2 Name</v>
      </c>
      <c r="O60" s="1927" t="str">
        <f>'1. Project Inputs'!C66</f>
        <v>Enter Option 3 Name</v>
      </c>
      <c r="P60" s="690"/>
      <c r="Q60" s="690"/>
      <c r="R60" s="690"/>
      <c r="S60" s="1926"/>
      <c r="T60" s="1926"/>
    </row>
    <row r="61" spans="2:23" ht="44.5" customHeight="1" thickBot="1" x14ac:dyDescent="0.35">
      <c r="B61" s="109"/>
      <c r="C61" s="691"/>
      <c r="D61" s="692"/>
      <c r="E61" s="693"/>
      <c r="F61" s="694"/>
      <c r="G61" s="692"/>
      <c r="H61" s="692"/>
      <c r="I61" s="692"/>
      <c r="J61" s="692"/>
      <c r="K61" s="692"/>
      <c r="L61" s="1905"/>
      <c r="M61" s="1928"/>
      <c r="N61" s="1928"/>
      <c r="O61" s="1928"/>
      <c r="P61" s="695"/>
      <c r="Q61" s="695"/>
      <c r="R61" s="695"/>
      <c r="S61" s="696"/>
      <c r="T61" s="1929"/>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1918" t="s">
        <v>79</v>
      </c>
      <c r="D128" s="1919"/>
      <c r="E128" s="1920"/>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1918" t="s">
        <v>83</v>
      </c>
      <c r="D146" s="1919"/>
      <c r="E146" s="1919"/>
      <c r="F146" s="1920"/>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92" priority="169">
      <formula>#REF!="Canada"</formula>
    </cfRule>
    <cfRule type="expression" dxfId="91" priority="170">
      <formula>#REF!="India"</formula>
    </cfRule>
    <cfRule type="expression" dxfId="90" priority="171">
      <formula>#REF!="US"</formula>
    </cfRule>
    <cfRule type="expression" dxfId="89" priority="172">
      <formula>#REF!="UK"</formula>
    </cfRule>
  </conditionalFormatting>
  <conditionalFormatting sqref="L17:L51 S52:T58 M58:R58 M60 S63:T1048576">
    <cfRule type="containsText" dxfId="88" priority="38" operator="containsText" text="Yes">
      <formula>NOT(ISERROR(SEARCH("Yes",L17)))</formula>
    </cfRule>
  </conditionalFormatting>
  <conditionalFormatting sqref="M63:M80">
    <cfRule type="containsText" dxfId="87" priority="21" operator="containsText" text="NO">
      <formula>NOT(ISERROR(SEARCH("NO",M63)))</formula>
    </cfRule>
    <cfRule type="containsText" dxfId="86" priority="22" operator="containsText" text="YES">
      <formula>NOT(ISERROR(SEARCH("YES",M63)))</formula>
    </cfRule>
  </conditionalFormatting>
  <conditionalFormatting sqref="M129:M134">
    <cfRule type="expression" dxfId="85" priority="31">
      <formula>$L129="Hrs"</formula>
    </cfRule>
  </conditionalFormatting>
  <conditionalFormatting sqref="N63:N77">
    <cfRule type="containsText" dxfId="84" priority="3" operator="containsText" text="NO">
      <formula>NOT(ISERROR(SEARCH("NO",N63)))</formula>
    </cfRule>
    <cfRule type="containsText" dxfId="83" priority="4" operator="containsText" text="YES">
      <formula>NOT(ISERROR(SEARCH("YES",N63)))</formula>
    </cfRule>
  </conditionalFormatting>
  <conditionalFormatting sqref="N78:R80 M81:R123">
    <cfRule type="containsText" dxfId="82" priority="34" operator="containsText" text="NO">
      <formula>NOT(ISERROR(SEARCH("NO",M78)))</formula>
    </cfRule>
    <cfRule type="containsText" dxfId="81" priority="35" operator="containsText" text="YES">
      <formula>NOT(ISERROR(SEARCH("YES",M78)))</formula>
    </cfRule>
  </conditionalFormatting>
  <conditionalFormatting sqref="O1:R21">
    <cfRule type="expression" dxfId="80" priority="23">
      <formula>$T$1="Canada"</formula>
    </cfRule>
    <cfRule type="expression" dxfId="79" priority="24">
      <formula>$T$1="India"</formula>
    </cfRule>
    <cfRule type="expression" dxfId="78" priority="25">
      <formula>$T$1="US"</formula>
    </cfRule>
    <cfRule type="expression" dxfId="77" priority="26">
      <formula>$T$1="UK"</formula>
    </cfRule>
  </conditionalFormatting>
  <conditionalFormatting sqref="O23:R23">
    <cfRule type="expression" dxfId="76" priority="27">
      <formula>$T$1="Canada"</formula>
    </cfRule>
    <cfRule type="expression" dxfId="75" priority="28">
      <formula>$T$1="India"</formula>
    </cfRule>
    <cfRule type="expression" dxfId="74" priority="29">
      <formula>$T$1="US"</formula>
    </cfRule>
    <cfRule type="expression" dxfId="73" priority="30">
      <formula>$T$1="UK"</formula>
    </cfRule>
  </conditionalFormatting>
  <conditionalFormatting sqref="O63:R77">
    <cfRule type="containsText" dxfId="72" priority="17" operator="containsText" text="NO">
      <formula>NOT(ISERROR(SEARCH("NO",O63)))</formula>
    </cfRule>
    <cfRule type="containsText" dxfId="71"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1940" t="s">
        <v>2303</v>
      </c>
      <c r="C7" s="1940"/>
      <c r="D7" s="1940"/>
      <c r="E7" s="1940"/>
      <c r="F7" s="1940"/>
      <c r="G7" s="1940"/>
      <c r="H7" s="1940"/>
      <c r="I7" s="1940"/>
      <c r="J7" s="1940"/>
      <c r="K7" s="395"/>
      <c r="L7" s="395"/>
      <c r="N7" s="395"/>
      <c r="O7" s="395"/>
      <c r="P7" s="395"/>
      <c r="Q7" s="395"/>
      <c r="R7" s="395"/>
    </row>
    <row r="8" spans="2:18" ht="14.25" customHeight="1" x14ac:dyDescent="0.3">
      <c r="B8" s="1941" t="s">
        <v>3268</v>
      </c>
      <c r="C8" s="1941"/>
      <c r="D8" s="1941"/>
      <c r="E8" s="1941"/>
      <c r="F8" s="1941"/>
      <c r="G8" s="1941"/>
      <c r="H8" s="1941"/>
      <c r="I8" s="1941"/>
      <c r="J8" s="1941"/>
      <c r="K8" s="395"/>
      <c r="L8" s="395"/>
      <c r="N8" s="395"/>
      <c r="O8" s="395"/>
      <c r="P8" s="395"/>
      <c r="Q8" s="395"/>
      <c r="R8" s="395"/>
    </row>
    <row r="9" spans="2:18" x14ac:dyDescent="0.3">
      <c r="B9" s="1713" t="s">
        <v>3269</v>
      </c>
      <c r="C9" s="1713"/>
      <c r="D9" s="1713"/>
      <c r="E9" s="1713"/>
      <c r="F9" s="1713"/>
      <c r="G9" s="1713"/>
      <c r="H9" s="1713"/>
      <c r="I9" s="1713"/>
      <c r="J9" s="1713"/>
      <c r="K9" s="395"/>
      <c r="L9" s="395"/>
      <c r="N9" s="395"/>
      <c r="O9" s="395"/>
      <c r="P9" s="395"/>
      <c r="Q9" s="395"/>
      <c r="R9" s="395"/>
    </row>
    <row r="10" spans="2:18" x14ac:dyDescent="0.3">
      <c r="B10" s="1713" t="s">
        <v>89</v>
      </c>
      <c r="C10" s="1713"/>
      <c r="D10" s="1713"/>
      <c r="E10" s="1713"/>
      <c r="F10" s="1713"/>
      <c r="G10" s="1713"/>
      <c r="H10" s="1713"/>
      <c r="I10" s="1713"/>
      <c r="J10" s="1713"/>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1938" t="s">
        <v>90</v>
      </c>
      <c r="D12" s="1939"/>
      <c r="E12" s="395"/>
      <c r="F12" s="395"/>
      <c r="G12" s="1475"/>
      <c r="H12" s="413"/>
      <c r="I12" s="1938" t="s">
        <v>91</v>
      </c>
      <c r="J12" s="1939"/>
      <c r="K12" s="395"/>
      <c r="L12" s="395"/>
      <c r="M12" s="1475"/>
      <c r="N12" s="413"/>
      <c r="O12" s="1938" t="s">
        <v>92</v>
      </c>
      <c r="P12" s="1939"/>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52"/>
      <c r="J62" s="1652"/>
      <c r="K62" s="1652"/>
      <c r="L62" s="1652"/>
      <c r="M62" s="1484"/>
      <c r="N62" s="395"/>
      <c r="O62" s="395"/>
      <c r="P62" s="395"/>
      <c r="Q62" s="395"/>
      <c r="R62" s="395"/>
    </row>
    <row r="63" spans="2:43" x14ac:dyDescent="0.3">
      <c r="B63" s="413"/>
      <c r="C63" s="395"/>
      <c r="D63" s="395"/>
      <c r="E63" s="395"/>
      <c r="F63" s="395"/>
      <c r="G63" s="1475"/>
      <c r="H63" s="395"/>
      <c r="I63" s="1652"/>
      <c r="J63" s="1652"/>
      <c r="K63" s="1652"/>
      <c r="L63" s="1652"/>
      <c r="M63" s="1484"/>
      <c r="N63" s="395"/>
      <c r="O63" s="395"/>
      <c r="P63" s="395"/>
      <c r="Q63" s="395"/>
      <c r="R63" s="395"/>
    </row>
    <row r="64" spans="2:43" x14ac:dyDescent="0.3">
      <c r="B64" s="413"/>
      <c r="C64" s="395"/>
      <c r="D64" s="395"/>
      <c r="E64" s="395"/>
      <c r="F64" s="395"/>
      <c r="G64" s="1475"/>
      <c r="H64" s="395"/>
      <c r="I64" s="1652"/>
      <c r="J64" s="1652"/>
      <c r="K64" s="1652"/>
      <c r="L64" s="1652"/>
      <c r="M64" s="1484"/>
      <c r="N64" s="395"/>
      <c r="O64" s="395"/>
      <c r="P64" s="395"/>
      <c r="Q64" s="395"/>
      <c r="R64" s="395"/>
    </row>
    <row r="65" spans="2:18" x14ac:dyDescent="0.3">
      <c r="B65" s="413"/>
      <c r="C65" s="395"/>
      <c r="D65" s="395"/>
      <c r="E65" s="395"/>
      <c r="F65" s="395"/>
      <c r="G65" s="1475"/>
      <c r="H65" s="395"/>
      <c r="I65" s="1652"/>
      <c r="J65" s="1652"/>
      <c r="K65" s="1652"/>
      <c r="L65" s="1652"/>
      <c r="M65" s="1484"/>
      <c r="N65" s="395"/>
      <c r="O65" s="395"/>
      <c r="P65" s="395"/>
      <c r="Q65" s="395"/>
      <c r="R65" s="395"/>
    </row>
    <row r="66" spans="2:18" x14ac:dyDescent="0.3">
      <c r="B66" s="413"/>
      <c r="C66" s="395"/>
      <c r="D66" s="395"/>
      <c r="E66" s="395"/>
      <c r="F66" s="395"/>
      <c r="G66" s="1475"/>
      <c r="H66" s="395"/>
      <c r="I66" s="1652"/>
      <c r="J66" s="1652"/>
      <c r="K66" s="1652"/>
      <c r="L66" s="1652"/>
      <c r="M66" s="1484"/>
      <c r="N66" s="395"/>
      <c r="O66" s="395"/>
      <c r="P66" s="395"/>
      <c r="Q66" s="395"/>
      <c r="R66" s="395"/>
    </row>
    <row r="67" spans="2:18" x14ac:dyDescent="0.3">
      <c r="B67" s="413"/>
      <c r="C67" s="395"/>
      <c r="D67" s="395"/>
      <c r="E67" s="395"/>
      <c r="F67" s="395"/>
      <c r="G67" s="1475"/>
      <c r="H67" s="395"/>
      <c r="I67" s="1652"/>
      <c r="J67" s="1652"/>
      <c r="K67" s="1652"/>
      <c r="L67" s="1652"/>
      <c r="M67" s="1484"/>
      <c r="N67" s="395"/>
      <c r="O67" s="395"/>
      <c r="P67" s="395"/>
      <c r="Q67" s="395"/>
      <c r="R67" s="395"/>
    </row>
    <row r="68" spans="2:18" x14ac:dyDescent="0.3">
      <c r="B68" s="413"/>
      <c r="C68" s="395"/>
      <c r="D68" s="395"/>
      <c r="E68" s="395"/>
      <c r="F68" s="395"/>
      <c r="G68" s="1475"/>
      <c r="H68" s="395"/>
      <c r="I68" s="1652"/>
      <c r="J68" s="1652"/>
      <c r="K68" s="1652"/>
      <c r="L68" s="1652"/>
      <c r="M68" s="1484"/>
      <c r="N68" s="395"/>
      <c r="O68" s="395"/>
      <c r="P68" s="395"/>
      <c r="Q68" s="395"/>
      <c r="R68" s="395"/>
    </row>
    <row r="69" spans="2:18" x14ac:dyDescent="0.3">
      <c r="B69" s="413"/>
      <c r="C69" s="395"/>
      <c r="D69" s="395"/>
      <c r="E69" s="395"/>
      <c r="F69" s="395"/>
      <c r="G69" s="1475"/>
      <c r="H69" s="395"/>
      <c r="I69" s="1652"/>
      <c r="J69" s="1652"/>
      <c r="K69" s="1652"/>
      <c r="L69" s="1652"/>
      <c r="M69" s="1484"/>
      <c r="N69" s="395"/>
      <c r="O69" s="395"/>
      <c r="P69" s="395"/>
      <c r="Q69" s="395"/>
      <c r="R69" s="395"/>
    </row>
    <row r="70" spans="2:18" x14ac:dyDescent="0.3">
      <c r="B70" s="413"/>
      <c r="C70" s="395"/>
      <c r="D70" s="395"/>
      <c r="E70" s="395"/>
      <c r="F70" s="395"/>
      <c r="G70" s="1475"/>
      <c r="H70" s="395"/>
      <c r="I70" s="1652"/>
      <c r="J70" s="1652"/>
      <c r="K70" s="1652"/>
      <c r="L70" s="1652"/>
      <c r="M70" s="1484"/>
      <c r="N70" s="395"/>
      <c r="O70" s="395"/>
      <c r="P70" s="395"/>
      <c r="Q70" s="395"/>
      <c r="R70" s="395"/>
    </row>
    <row r="71" spans="2:18" x14ac:dyDescent="0.3">
      <c r="B71" s="413"/>
      <c r="C71" s="395"/>
      <c r="D71" s="492"/>
      <c r="E71" s="600"/>
      <c r="F71" s="600"/>
      <c r="G71" s="1499"/>
      <c r="H71" s="395"/>
      <c r="I71" s="1652"/>
      <c r="J71" s="1652"/>
      <c r="K71" s="1652"/>
      <c r="L71" s="1652"/>
      <c r="M71" s="1484"/>
      <c r="N71" s="395"/>
      <c r="O71" s="395"/>
      <c r="P71" s="395"/>
      <c r="Q71" s="395"/>
      <c r="R71" s="395"/>
    </row>
    <row r="72" spans="2:18" x14ac:dyDescent="0.3">
      <c r="B72" s="413"/>
      <c r="C72" s="1496"/>
      <c r="D72" s="495"/>
      <c r="E72" s="820"/>
      <c r="F72" s="820"/>
      <c r="G72" s="1497"/>
      <c r="H72" s="395"/>
      <c r="I72" s="1652"/>
      <c r="J72" s="1652"/>
      <c r="K72" s="1652"/>
      <c r="L72" s="1652"/>
      <c r="M72" s="1484"/>
      <c r="N72" s="395"/>
      <c r="O72" s="395"/>
      <c r="P72" s="395"/>
      <c r="Q72" s="395"/>
      <c r="R72" s="395"/>
    </row>
    <row r="73" spans="2:18" x14ac:dyDescent="0.3">
      <c r="B73" s="413"/>
      <c r="C73" s="1496"/>
      <c r="D73" s="495"/>
      <c r="E73" s="820"/>
      <c r="F73" s="820"/>
      <c r="G73" s="1497"/>
      <c r="H73" s="395"/>
      <c r="I73" s="1652"/>
      <c r="J73" s="1652"/>
      <c r="K73" s="1652"/>
      <c r="L73" s="1652"/>
      <c r="M73" s="1484"/>
      <c r="N73" s="395"/>
      <c r="O73" s="395"/>
      <c r="P73" s="395"/>
      <c r="Q73" s="395"/>
      <c r="R73" s="395"/>
    </row>
    <row r="74" spans="2:18" x14ac:dyDescent="0.3">
      <c r="B74" s="413"/>
      <c r="C74" s="1496"/>
      <c r="D74" s="495"/>
      <c r="E74" s="820"/>
      <c r="F74" s="820"/>
      <c r="G74" s="1497"/>
      <c r="H74" s="395"/>
      <c r="I74" s="1652"/>
      <c r="J74" s="1652"/>
      <c r="K74" s="1652"/>
      <c r="L74" s="1652"/>
      <c r="M74" s="1484"/>
      <c r="N74" s="395"/>
      <c r="O74" s="395"/>
      <c r="P74" s="395"/>
      <c r="Q74" s="395"/>
      <c r="R74" s="395"/>
    </row>
    <row r="75" spans="2:18" x14ac:dyDescent="0.3">
      <c r="B75" s="413"/>
      <c r="C75" s="1496"/>
      <c r="D75" s="495"/>
      <c r="E75" s="820"/>
      <c r="F75" s="820"/>
      <c r="G75" s="1497"/>
      <c r="H75" s="395"/>
      <c r="I75" s="1652"/>
      <c r="J75" s="1652"/>
      <c r="K75" s="1652"/>
      <c r="L75" s="1652"/>
      <c r="M75" s="1484"/>
      <c r="N75" s="395"/>
      <c r="O75" s="395"/>
      <c r="P75" s="395"/>
      <c r="Q75" s="395"/>
      <c r="R75" s="395"/>
    </row>
    <row r="76" spans="2:18" x14ac:dyDescent="0.3">
      <c r="B76" s="413"/>
      <c r="C76" s="1496"/>
      <c r="D76" s="495"/>
      <c r="E76" s="820"/>
      <c r="F76" s="820"/>
      <c r="G76" s="1497"/>
      <c r="H76" s="395"/>
      <c r="I76" s="1652"/>
      <c r="J76" s="1652"/>
      <c r="K76" s="1652"/>
      <c r="L76" s="1652"/>
      <c r="M76" s="1484"/>
      <c r="N76" s="395"/>
      <c r="O76" s="395"/>
      <c r="P76" s="395"/>
      <c r="Q76" s="395"/>
      <c r="R76" s="395"/>
    </row>
    <row r="77" spans="2:18" x14ac:dyDescent="0.3">
      <c r="B77" s="413"/>
      <c r="C77" s="1496"/>
      <c r="D77" s="495"/>
      <c r="E77" s="820"/>
      <c r="F77" s="820"/>
      <c r="G77" s="1497"/>
      <c r="H77" s="395"/>
      <c r="I77" s="1652"/>
      <c r="J77" s="1652"/>
      <c r="K77" s="1652"/>
      <c r="L77" s="1652"/>
      <c r="M77" s="1484"/>
      <c r="N77" s="395"/>
      <c r="O77" s="395"/>
      <c r="P77" s="395"/>
      <c r="Q77" s="395"/>
      <c r="R77" s="395"/>
    </row>
    <row r="78" spans="2:18" x14ac:dyDescent="0.3">
      <c r="B78" s="413"/>
      <c r="C78" s="1496"/>
      <c r="D78" s="495"/>
      <c r="E78" s="820"/>
      <c r="F78" s="820"/>
      <c r="G78" s="1497"/>
      <c r="H78" s="395"/>
      <c r="I78" s="1652"/>
      <c r="J78" s="1652"/>
      <c r="K78" s="1652"/>
      <c r="L78" s="1652"/>
      <c r="M78" s="1484"/>
      <c r="N78" s="395"/>
      <c r="O78" s="395"/>
      <c r="P78" s="395"/>
      <c r="Q78" s="395"/>
      <c r="R78" s="395"/>
    </row>
    <row r="79" spans="2:18" x14ac:dyDescent="0.3">
      <c r="B79" s="413"/>
      <c r="C79" s="1496"/>
      <c r="D79" s="495"/>
      <c r="E79" s="820"/>
      <c r="F79" s="820"/>
      <c r="G79" s="1497"/>
      <c r="H79" s="395"/>
      <c r="I79" s="1652"/>
      <c r="J79" s="1652"/>
      <c r="K79" s="1652"/>
      <c r="L79" s="1652"/>
      <c r="M79" s="1484"/>
      <c r="N79" s="395"/>
      <c r="O79" s="395"/>
      <c r="P79" s="395"/>
      <c r="Q79" s="395"/>
      <c r="R79" s="395"/>
    </row>
    <row r="80" spans="2:18" x14ac:dyDescent="0.3">
      <c r="B80" s="413"/>
      <c r="C80" s="1496"/>
      <c r="D80" s="495"/>
      <c r="E80" s="820"/>
      <c r="F80" s="820"/>
      <c r="G80" s="1497"/>
      <c r="H80" s="395"/>
      <c r="I80" s="1652"/>
      <c r="J80" s="1652"/>
      <c r="K80" s="1652"/>
      <c r="L80" s="1652"/>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70" priority="23" operator="beginsWith" text="[">
      <formula>LEFT(D72,LEN("["))="["</formula>
    </cfRule>
  </conditionalFormatting>
  <conditionalFormatting sqref="E72:G81">
    <cfRule type="expression" dxfId="69"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1942" t="s">
        <v>3288</v>
      </c>
      <c r="C7" s="1942"/>
      <c r="D7" s="1942"/>
      <c r="E7" s="1942"/>
      <c r="F7" s="1942"/>
      <c r="G7" s="1942"/>
    </row>
    <row r="8" spans="2:9" s="526" customFormat="1" x14ac:dyDescent="0.3"/>
    <row r="9" spans="2:9" ht="17.5" x14ac:dyDescent="0.35">
      <c r="B9" s="830" t="s">
        <v>2294</v>
      </c>
      <c r="C9" s="475"/>
      <c r="D9" s="475"/>
      <c r="E9" s="475"/>
      <c r="F9" s="475"/>
      <c r="G9" s="475"/>
      <c r="H9" s="475"/>
      <c r="I9" s="475"/>
    </row>
    <row r="10" spans="2:9" ht="68" customHeight="1" x14ac:dyDescent="0.3">
      <c r="B10" s="1702" t="s">
        <v>3287</v>
      </c>
      <c r="C10" s="1702"/>
      <c r="D10" s="1702"/>
      <c r="E10" s="1702"/>
      <c r="F10" s="1702"/>
      <c r="G10" s="1702"/>
    </row>
    <row r="11" spans="2:9" x14ac:dyDescent="0.3">
      <c r="B11" s="720" t="s">
        <v>183</v>
      </c>
      <c r="C11" s="720" t="s">
        <v>184</v>
      </c>
      <c r="D11" s="720" t="s">
        <v>185</v>
      </c>
      <c r="E11" s="720" t="s">
        <v>186</v>
      </c>
      <c r="G11" s="556"/>
    </row>
    <row r="12" spans="2:9" x14ac:dyDescent="0.3">
      <c r="B12" s="1103" t="s">
        <v>187</v>
      </c>
      <c r="C12" s="1104">
        <f>'2. Roles &amp; Pricing'!AD28</f>
        <v>732400</v>
      </c>
      <c r="D12" s="1104">
        <f>'2. Roles &amp; Pricing'!AE28</f>
        <v>252400</v>
      </c>
      <c r="E12" s="1105">
        <f>'2. Roles &amp; Pricing'!AF28</f>
        <v>306400</v>
      </c>
    </row>
    <row r="13" spans="2:9" x14ac:dyDescent="0.3">
      <c r="B13" s="1106" t="s">
        <v>1675</v>
      </c>
      <c r="C13" s="1095">
        <f>'2. Roles &amp; Pricing'!AD29</f>
        <v>331440</v>
      </c>
      <c r="D13" s="1095">
        <f>'2. Roles &amp; Pricing'!AE29</f>
        <v>99840</v>
      </c>
      <c r="E13" s="1107">
        <f>'2. Roles &amp; Pricing'!AF29</f>
        <v>139440</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f>IFERROR(IF(C14="Manual Entry",(C12+(C12*C15)),(C12+C14+(C12*C15))),"")</f>
        <v>769020</v>
      </c>
      <c r="D16" s="1114">
        <f>IFERROR(IF(D14="Manual Entry",(D12+(D12*D15)),(D12+D14+(D12*D15))),"")</f>
        <v>265020</v>
      </c>
      <c r="E16" s="1115">
        <f>IFERROR(IF(E14="Manual Entry",(E12+(E12*E15)),(E12+E14+(E12*E15))),"")</f>
        <v>321720</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f>IFERROR((SUMIFS('2. Roles &amp; Pricing'!$D291:$D$390,'2. Roles &amp; Pricing'!AC$48:AC$147,"Yes")-SUMIFS('2. Roles &amp; Pricing'!$F$291:$F$390,'2. Roles &amp; Pricing'!AC$48:AC$147,"Yes"))/SUMIFS('2. Roles &amp; Pricing'!$D$291:$D$390,'2. Roles &amp; Pricing'!AC$48:AC$147,"Yes"),"")</f>
        <v>0.54746040415073727</v>
      </c>
      <c r="D19" s="1116">
        <f>IFERROR((SUMIFS('2. Roles &amp; Pricing'!$D291:$D$390,'2. Roles &amp; Pricing'!AE$48:AE$147,"Yes")-SUMIFS('2. Roles &amp; Pricing'!$F$291:$F$390,'2. Roles &amp; Pricing'!AE$48:AE$147,"Yes"))/SUMIFS('2. Roles &amp; Pricing'!$D$291:$D$390,'2. Roles &amp; Pricing'!AE$48:AE$147,"Yes"),"")</f>
        <v>0.60443740095087162</v>
      </c>
      <c r="E19" s="1117">
        <f>IFERROR((SUMIFS('2. Roles &amp; Pricing'!$D291:$D$390,'2. Roles &amp; Pricing'!AF$48:AF$147,"Yes")-SUMIFS('2. Roles &amp; Pricing'!$F$291:$F$390,'2. Roles &amp; Pricing'!AF$48:AF$147,"Yes"))/SUMIFS('2. Roles &amp; Pricing'!$D$291:$D$390,'2. Roles &amp; Pricing'!AF$48:AF$147,"Yes"),"")</f>
        <v>0.54490861618798958</v>
      </c>
    </row>
    <row r="20" spans="2:8" x14ac:dyDescent="0.3">
      <c r="B20" s="896" t="s">
        <v>190</v>
      </c>
      <c r="C20" s="1099">
        <f>IFERROR((SUMIFS('2. Roles &amp; Pricing'!$D$291:$D$390,'2. Roles &amp; Pricing'!$W48:$W147,"Offshore",'2. Roles &amp; Pricing'!AC$48:AC$147,"Yes"))/SUMIFS('2. Roles &amp; Pricing'!$M$291:$M$390,'2. Roles &amp; Pricing'!$W$48:$W$147,"Offshore",'2. Roles &amp; Pricing'!AC$48:AC$147,"Yes"),"")</f>
        <v>55</v>
      </c>
      <c r="D20" s="1099" t="str">
        <f>IFERROR((SUMIFS('2. Roles &amp; Pricing'!$D$291:$D$390,'2. Roles &amp; Pricing'!$W48:$W147,"Offshore",'2. Roles &amp; Pricing'!AD$48:AD$147,"Yes"))/SUMIFS('2. Roles &amp; Pricing'!$M$291:$M$390,'2. Roles &amp; Pricing'!$W$48:$W$147,"Offshore",'2. Roles &amp; Pricing'!AD$48:AD$147,"Yes"),"")</f>
        <v/>
      </c>
      <c r="E20" s="1118">
        <f>IFERROR((SUMIFS('2. Roles &amp; Pricing'!$D$291:$D$390,'2. Roles &amp; Pricing'!$W48:$W147,"Offshore",'2. Roles &amp; Pricing'!AE$48:AE$147,"Yes"))/SUMIFS('2. Roles &amp; Pricing'!$M$291:$M$390,'2. Roles &amp; Pricing'!$W$48:$W$147,"Offshore",'2. Roles &amp; Pricing'!AE$48:AE$147,"Yes"),"")</f>
        <v>55</v>
      </c>
    </row>
    <row r="21" spans="2:8" x14ac:dyDescent="0.3">
      <c r="B21" s="896" t="s">
        <v>191</v>
      </c>
      <c r="C21" s="1100">
        <f>IFERROR((SUMIFS('2. Roles &amp; Pricing'!$D$291:$D$390,'2. Roles &amp; Pricing'!$W49:$W148,"Onshore",'2. Roles &amp; Pricing'!AC$48:AC$147,"Yes"))/SUMIFS('2. Roles &amp; Pricing'!$M$291:$M$390,'2. Roles &amp; Pricing'!$W$48:$W$147,"Onshore",'2. Roles &amp; Pricing'!AC$48:AC$147,"Yes"),"")</f>
        <v>31.777777777777779</v>
      </c>
      <c r="D21" s="1099">
        <f>IFERROR((SUMIFS('2. Roles &amp; Pricing'!$D$291:$D$390,'2. Roles &amp; Pricing'!$W49:$W148,"Onshore",'2. Roles &amp; Pricing'!AE$48:AE$147,"Yes"))/SUMIFS('2. Roles &amp; Pricing'!$M$291:$M$390,'2. Roles &amp; Pricing'!$W$48:$W$147,"Onshore",'2. Roles &amp; Pricing'!AE$48:AE$147,"Yes"),"")</f>
        <v>40.333333333333336</v>
      </c>
      <c r="E21" s="1118">
        <f>IFERROR((SUMIFS('2. Roles &amp; Pricing'!$D$291:$D$390,'2. Roles &amp; Pricing'!$W49:$W148,"Onshore",'2. Roles &amp; Pricing'!AF$48:AF$147,"Yes"))/SUMIFS('2. Roles &amp; Pricing'!$M$291:$M$390,'2. Roles &amp; Pricing'!$W$48:$W$147,"Onshore",'2. Roles &amp; Pricing'!AF$48:AF$147,"Yes"),"")</f>
        <v>95.333333333333329</v>
      </c>
    </row>
    <row r="22" spans="2:8" x14ac:dyDescent="0.3">
      <c r="B22" s="896" t="s">
        <v>192</v>
      </c>
      <c r="C22" s="1098">
        <f>IFERROR((COUNTIFS('2. Roles &amp; Pricing'!$W$48:$W$147,"Offshore",'2. Roles &amp; Pricing'!AC$48:AC$147,"Yes")/SUM(COUNTIFS('2. Roles &amp; Pricing'!$W$48:$W$147,"Onshore",'2. Roles &amp; Pricing'!AC$48:AC$147,"Yes"),COUNTIFS('2. Roles &amp; Pricing'!$W$48:$W$147,"Offshore",'2. Roles &amp; Pricing'!AC$48:AC$147,"Yes"))),"")</f>
        <v>0.4</v>
      </c>
      <c r="D22" s="1098">
        <f>IFERROR((COUNTIFS('2. Roles &amp; Pricing'!$W$48:$W$147,"Offshore",'2. Roles &amp; Pricing'!AE$48:AE$147,"Yes")/SUM(COUNTIFS('2. Roles &amp; Pricing'!$W$48:$W$147,"Onshore",'2. Roles &amp; Pricing'!AE$48:AE$147,"Yes"),COUNTIFS('2. Roles &amp; Pricing'!$W$48:$W$147,"Offshore",'2. Roles &amp; Pricing'!AE$48:AE$147,"Yes"))),"")</f>
        <v>0.5</v>
      </c>
      <c r="E22" s="970">
        <f>IFERROR((COUNTIFS('2. Roles &amp; Pricing'!$W$48:$W$147,"Offshore",'2. Roles &amp; Pricing'!AF$48:AF$147,"Yes")/SUM(COUNTIFS('2. Roles &amp; Pricing'!$W$48:$W$147,"Onshore",'2. Roles &amp; Pricing'!AF$48:AF$147,"Yes"),COUNTIFS('2. Roles &amp; Pricing'!$W$48:$W$147,"Offshore",'2. Roles &amp; Pricing'!AF$48:AF$147,"Yes"))),"")</f>
        <v>0.66666666666666663</v>
      </c>
    </row>
    <row r="23" spans="2:8" x14ac:dyDescent="0.3">
      <c r="B23" s="896" t="s">
        <v>111</v>
      </c>
      <c r="C23" s="1099">
        <f>'2. Roles &amp; Pricing'!AD30</f>
        <v>58.352112676056336</v>
      </c>
      <c r="D23" s="1099">
        <f>'2. Roles &amp; Pricing'!AE30</f>
        <v>48</v>
      </c>
      <c r="E23" s="1118">
        <f>'2. Roles &amp; Pricing'!AF30</f>
        <v>42.512195121951223</v>
      </c>
    </row>
    <row r="24" spans="2:8" x14ac:dyDescent="0.3">
      <c r="B24" s="896" t="s">
        <v>194</v>
      </c>
      <c r="C24" s="1081">
        <f>COUNTIFS('2. Roles &amp; Pricing'!$Y$48:$Y$147,"&gt;=21",'2. Roles &amp; Pricing'!AC$48:AC$147,"Yes")</f>
        <v>5</v>
      </c>
      <c r="D24" s="1081">
        <f>COUNTIFS('2. Roles &amp; Pricing'!$Y$48:$Y$147,"&gt;=21",'2. Roles &amp; Pricing'!AE$48:AE$147,"Yes")</f>
        <v>2</v>
      </c>
      <c r="E24" s="971">
        <f>COUNTIFS('2. Roles &amp; Pricing'!$Y$48:$Y$147,"&gt;=21",'2. Roles &amp; Pricing'!AF$48:AF$147,"Yes")</f>
        <v>3</v>
      </c>
    </row>
    <row r="25" spans="2:8" x14ac:dyDescent="0.3">
      <c r="B25" s="896" t="s">
        <v>195</v>
      </c>
      <c r="C25" s="1081">
        <f>COUNTIFS('2. Roles &amp; Pricing'!$Y$48:$Y$147,"&gt;=20",'2. Roles &amp; Pricing'!AC$48:AC$147,"Yes")</f>
        <v>5</v>
      </c>
      <c r="D25" s="1081">
        <f>COUNTIFS('2. Roles &amp; Pricing'!$Y$48:$Y$147,"&gt;=20",'2. Roles &amp; Pricing'!AE$48:AE$147,"Yes")</f>
        <v>2</v>
      </c>
      <c r="E25" s="971">
        <f>COUNTIFS('2. Roles &amp; Pricing'!$Y$48:$Y$147,"&gt;=20",'2. Roles &amp; Pricing'!AF$48:AF$147,"Yes")</f>
        <v>3</v>
      </c>
    </row>
    <row r="26" spans="2:8" x14ac:dyDescent="0.3">
      <c r="B26" s="896" t="s">
        <v>196</v>
      </c>
      <c r="C26" s="1101">
        <f>SUMIFS('2. Roles &amp; Pricing'!$M$291:$M$390,'2. Roles &amp; Pricing'!AC$48:$AC$147,"yes")</f>
        <v>5680</v>
      </c>
      <c r="D26" s="1101">
        <f>SUMIFS('2. Roles &amp; Pricing'!$M$291:$M$390,'2. Roles &amp; Pricing'!$AE$48:AE$147,"yes")</f>
        <v>2080</v>
      </c>
      <c r="E26" s="972">
        <f>SUMIFS('2. Roles &amp; Pricing'!$M$291:$M$390,'2. Roles &amp; Pricing'!$AE$48:AE$147,"yes")</f>
        <v>2080</v>
      </c>
    </row>
    <row r="27" spans="2:8" x14ac:dyDescent="0.3">
      <c r="B27" s="933" t="s">
        <v>197</v>
      </c>
      <c r="C27" s="1119">
        <f>IFERROR(SUM(SUMIFS('2. Roles &amp; Pricing'!$M$291:$M$390,'2. Roles &amp; Pricing'!$V$48:$V$147,"7",'2. Roles &amp; Pricing'!AC$48:AC$147,"Yes"),SUMIFS('2. Roles &amp; Pricing'!$M$291:$M$390,'2. Roles &amp; Pricing'!$V$48:$V$147,"6",'2. Roles &amp; Pricing'!AC$48:AC$147,"Yes"))/(SUMIFS('2. Roles &amp; Pricing'!$M$291:$M$390,'2. Roles &amp; Pricing'!AC$48:AC$147,"Yes")),"")</f>
        <v>0</v>
      </c>
      <c r="D27" s="1119">
        <f>IFERROR(SUM(SUMIFS('2. Roles &amp; Pricing'!$M$291:$M$390,'2. Roles &amp; Pricing'!$V$48:$V$147,"7",'2. Roles &amp; Pricing'!AE$48:AE$147,"Yes"),SUMIFS('2. Roles &amp; Pricing'!$M$291:$M$390,'2. Roles &amp; Pricing'!$V$48:$V$147,"6",'2. Roles &amp; Pricing'!AE$48:AE$147,"Yes"))/(SUMIFS('2. Roles &amp; Pricing'!$M$291:$M$390,'2. Roles &amp; Pricing'!AE$48:AE$147,"Yes")),"")</f>
        <v>0</v>
      </c>
      <c r="E27" s="1120">
        <f>IFERROR(SUM(SUMIFS('2. Roles &amp; Pricing'!$M$291:$M$390,'2. Roles &amp; Pricing'!$V$48:$V$147,"7",'2. Roles &amp; Pricing'!AF$48:AF$147,"Yes"),SUMIFS('2. Roles &amp; Pricing'!$M$291:$M$390,'2. Roles &amp; Pricing'!$V$48:$V$147,"6",'2. Roles &amp; Pricing'!AF$48:AF$147,"Yes"))/(SUMIFS('2. Roles &amp; Pricing'!$M$291:$M$390,'2. Roles &amp; Pricing'!AF$48:AF$147,"Yes")),"")</f>
        <v>0</v>
      </c>
    </row>
    <row r="28" spans="2:8" x14ac:dyDescent="0.3">
      <c r="B28" s="1121" t="s">
        <v>198</v>
      </c>
      <c r="C28" s="1122">
        <f>COUNTIF('2. Roles &amp; Pricing'!AC$48:AC$147,"Yes")</f>
        <v>5</v>
      </c>
      <c r="D28" s="1122">
        <f>COUNTIF('2. Roles &amp; Pricing'!AE$48:AE$147,"Yes")</f>
        <v>2</v>
      </c>
      <c r="E28" s="1123">
        <f>COUNTIF('2. Roles &amp; Pricing'!AF$48:AF$147,"Yes")</f>
        <v>3</v>
      </c>
    </row>
    <row r="30" spans="2:8" x14ac:dyDescent="0.3">
      <c r="B30" s="1944" t="s">
        <v>199</v>
      </c>
      <c r="C30" s="1945"/>
      <c r="D30" s="1945"/>
      <c r="E30" s="1945"/>
      <c r="F30" s="1945"/>
      <c r="G30" s="1945"/>
      <c r="H30" s="1946"/>
    </row>
    <row r="31" spans="2:8" x14ac:dyDescent="0.3">
      <c r="B31" s="1943" t="s">
        <v>200</v>
      </c>
      <c r="C31" s="1943" t="s">
        <v>43</v>
      </c>
      <c r="D31" s="1943"/>
      <c r="E31" s="1943" t="s">
        <v>44</v>
      </c>
      <c r="F31" s="1943"/>
      <c r="G31" s="1943" t="s">
        <v>45</v>
      </c>
      <c r="H31" s="1943"/>
    </row>
    <row r="32" spans="2:8" x14ac:dyDescent="0.3">
      <c r="B32" s="1943"/>
      <c r="C32" s="1131" t="s">
        <v>201</v>
      </c>
      <c r="D32" s="1132" t="s">
        <v>202</v>
      </c>
      <c r="E32" s="1131" t="s">
        <v>201</v>
      </c>
      <c r="F32" s="1132" t="s">
        <v>202</v>
      </c>
      <c r="G32" s="1131" t="s">
        <v>201</v>
      </c>
      <c r="H32" s="1132" t="s">
        <v>202</v>
      </c>
    </row>
    <row r="33" spans="2:8" x14ac:dyDescent="0.3">
      <c r="B33" s="1124" t="s">
        <v>203</v>
      </c>
      <c r="C33" s="1125">
        <f>IFERROR(COUNTIFS('2. Roles &amp; Pricing'!$C$48:$C$147,"CrederaUS",'2. Roles &amp; Pricing'!AC$48:AC$147,"Yes")/'Optional Pricing Scenarios Eval'!C$28,"")</f>
        <v>0</v>
      </c>
      <c r="D33" s="1126">
        <f>IFERROR(SUMIFS('2. Roles &amp; Pricing'!$D$291:$D$390,'2. Roles &amp; Pricing'!$C$48:$C$147,"CrederaUS",'2. Roles &amp; Pricing'!$AC$48:$AC$147,"Yes"),"")</f>
        <v>0</v>
      </c>
      <c r="E33" s="1125">
        <f>IFERROR(COUNTIFS('2. Roles &amp; Pricing'!$C$48:$C$147,"CrederaUS",'2. Roles &amp; Pricing'!AD$48:AD$147,"Yes")/'Optional Pricing Scenarios Eval'!D$28,"")</f>
        <v>0</v>
      </c>
      <c r="F33" s="1126">
        <f>IFERROR(SUMIFS('2. Roles &amp; Pricing'!$D$291:$D$390,'2. Roles &amp; Pricing'!$C$48:$C$147,"CrederaUS",'2. Roles &amp; Pricing'!AD$48:AD$147,"Yes"),"")</f>
        <v>0</v>
      </c>
      <c r="G33" s="1125">
        <f>IFERROR(COUNTIFS('2. Roles &amp; Pricing'!$C$48:$C$147,"CrederaUS",'2. Roles &amp; Pricing'!AF$48:AF$147,"Yes")/'Optional Pricing Scenarios Eval'!E$28,"")</f>
        <v>0</v>
      </c>
      <c r="H33" s="1127">
        <f>IFERROR(SUMIFS('2. Roles &amp; Pricing'!$D$291:$D$390,'2. Roles &amp; Pricing'!$C$48:$C$147,"CrederaUS",'2. Roles &amp; Pricing'!$AF$48:$AF$147,"Yes"),"")</f>
        <v>0</v>
      </c>
    </row>
    <row r="34" spans="2:8" x14ac:dyDescent="0.3">
      <c r="B34" s="973" t="s">
        <v>204</v>
      </c>
      <c r="C34" s="928">
        <f>IFERROR(SUM(COUNTIFS('2. Roles &amp; Pricing'!$C$48:$C$147,"TADNorthAmerica",'2. Roles &amp; Pricing'!AC$48:AC$147,"Yes"),COUNTIFS('2. Roles &amp; Pricing'!$C$48:$C$147,"TADIndia",'2. Roles &amp; Pricing'!AC$48:AC$147,"Yes"))/'Optional Pricing Scenarios Eval'!C$28,"")</f>
        <v>1</v>
      </c>
      <c r="D34" s="1102">
        <f>IFERROR(SUMIFS('2. Roles &amp; Pricing'!$D$291:$D$390,'2. Roles &amp; Pricing'!$C$48:$C$147,"TADIndia",'2. Roles &amp; Pricing'!$AC$48:$AC$147,"Yes")+SUMIFS('2. Roles &amp; Pricing'!$D$291:$D$390,'2. Roles &amp; Pricing'!$C$48:$C$147,"TADNorthAmerica",'2. Roles &amp; Pricing'!$AC$48:$AC$147,"Yes"),"")</f>
        <v>732400</v>
      </c>
      <c r="E34" s="928">
        <f>IFERROR(SUM(COUNTIFS('2. Roles &amp; Pricing'!$C$48:$C$147,"TADNorthAmerica",'2. Roles &amp; Pricing'!AD$48:AD$147,"Yes"),COUNTIFS('2. Roles &amp; Pricing'!$C$48:$C$147,"TADIndia",'2. Roles &amp; Pricing'!AD$48:AD$147,"Yes"))/'Optional Pricing Scenarios Eval'!D$28,"")</f>
        <v>0</v>
      </c>
      <c r="F34" s="1102">
        <f>IFERROR(SUMIFS('2. Roles &amp; Pricing'!$D$291:$D$390,'2. Roles &amp; Pricing'!$C$48:$C$147,"TADIndia",'2. Roles &amp; Pricing'!$AD$48:$AD$147,"Yes")+SUMIFS('2. Roles &amp; Pricing'!$D$291:$D$390,'2. Roles &amp; Pricing'!$C$48:$C$147,"TADNorthAmerica",'2. Roles &amp; Pricing'!$AD$48:$AD$147,"Yes"),"")</f>
        <v>0</v>
      </c>
      <c r="G34" s="928">
        <f>IFERROR(SUM(COUNTIFS('2. Roles &amp; Pricing'!$C$48:$C$147,"TADNorthAmerica",'2. Roles &amp; Pricing'!AF$48:AF$147,"Yes"),COUNTIFS('2. Roles &amp; Pricing'!$C$48:$C$147,"TADIndia",'2. Roles &amp; Pricing'!AF$48:AF$147,"Yes"))/'Optional Pricing Scenarios Eval'!E$28,"")</f>
        <v>1</v>
      </c>
      <c r="H34" s="1128">
        <f>IFERROR(SUMIFS('2. Roles &amp; Pricing'!$D$291:$D$390,'2. Roles &amp; Pricing'!$C$48:$C$147,"TADIndia",'2. Roles &amp; Pricing'!$AF$48:$AF$147,"Yes")+SUMIFS('2. Roles &amp; Pricing'!$D$291:$D$390,'2. Roles &amp; Pricing'!$C$48:$C$147,"TADNorthAmerica",'2. Roles &amp; Pricing'!$AF$48:$AF$147,"Yes"),"")</f>
        <v>306400</v>
      </c>
    </row>
    <row r="35" spans="2:8" x14ac:dyDescent="0.3">
      <c r="B35" s="973" t="s">
        <v>205</v>
      </c>
      <c r="C35" s="928">
        <f>IFERROR(COUNTIFS('2. Roles &amp; Pricing'!$C$48:$C$147,"BrightGen",'2. Roles &amp; Pricing'!AC$48:AC$147,"Yes")/'Optional Pricing Scenarios Eval'!C$28,"")</f>
        <v>0</v>
      </c>
      <c r="D35" s="1102">
        <f>IFERROR(SUMIFS('2. Roles &amp; Pricing'!$D$291:$D$390,'2. Roles &amp; Pricing'!$C$48:$C$147,"BrightGen",'2. Roles &amp; Pricing'!AC$48:AC$147,"Yes"),"")</f>
        <v>0</v>
      </c>
      <c r="E35" s="928">
        <f>IFERROR(COUNTIFS('2. Roles &amp; Pricing'!$C$48:$C$147,"BrightGen",'2. Roles &amp; Pricing'!AD$48:AD$147,"Yes")/'Optional Pricing Scenarios Eval'!D$28,"")</f>
        <v>0</v>
      </c>
      <c r="F35" s="1102">
        <f>IFERROR(SUMIFS('2. Roles &amp; Pricing'!$D$291:$D$390,'2. Roles &amp; Pricing'!$C$48:$C$147,"BrightGen",'2. Roles &amp; Pricing'!AD$48:AD$147,"Yes"),"")</f>
        <v>0</v>
      </c>
      <c r="G35" s="928">
        <f>IFERROR(COUNTIFS('2. Roles &amp; Pricing'!$C$48:$C$147,"BrightGen",'2. Roles &amp; Pricing'!AF$48:AF$147,"Yes")/'Optional Pricing Scenarios Eval'!E$28,"")</f>
        <v>0</v>
      </c>
      <c r="H35" s="1128">
        <f>IFERROR(SUMIFS('2. Roles &amp; Pricing'!$D$291:$D$390,'2. Roles &amp; Pricing'!$C$48:$C$147,"BrightGen",'2. Roles &amp; Pricing'!AF$48:AF$147,"Yes"),"")</f>
        <v>0</v>
      </c>
    </row>
    <row r="36" spans="2:8" x14ac:dyDescent="0.3">
      <c r="B36" s="974" t="s">
        <v>206</v>
      </c>
      <c r="C36" s="928">
        <f>IFERROR(COUNTIFS('2. Roles &amp; Pricing'!$C$48:$C$147,"CrederaUK",'2. Roles &amp; Pricing'!AC$48:AC$147,"Yes")/'Optional Pricing Scenarios Eval'!C$28,"")</f>
        <v>0</v>
      </c>
      <c r="D36" s="1102">
        <f>IFERROR(SUMIFS('2. Roles &amp; Pricing'!$D$291:$D$390,'2. Roles &amp; Pricing'!$C$48:$C$147,"CrederaUK",'2. Roles &amp; Pricing'!$AC$48:$AC$147,"Yes"),"")</f>
        <v>0</v>
      </c>
      <c r="E36" s="928">
        <f>IFERROR(COUNTIFS('2. Roles &amp; Pricing'!$C$48:$C$147,"CrederaUK",'2. Roles &amp; Pricing'!AD$48:AD$147,"Yes")/'Optional Pricing Scenarios Eval'!D$28,"")</f>
        <v>0</v>
      </c>
      <c r="F36" s="1102">
        <f>IFERROR(SUMIFS('2. Roles &amp; Pricing'!$D$291:$D$390,'2. Roles &amp; Pricing'!$C$48:$C$147,"CrederaUK",'2. Roles &amp; Pricing'!AD$48:AD$147,"Yes"),"")</f>
        <v>0</v>
      </c>
      <c r="G36" s="928">
        <f>IFERROR(COUNTIFS('2. Roles &amp; Pricing'!$C$48:$C$147,"CrederaUK",'2. Roles &amp; Pricing'!AF$48:AF$147,"Yes")/'Optional Pricing Scenarios Eval'!E$28,"")</f>
        <v>0</v>
      </c>
      <c r="H36" s="1128">
        <f>IFERROR(SUMIFS('2. Roles &amp; Pricing'!$D$291:$D$390,'2. Roles &amp; Pricing'!$C$48:$C$147,"CrederaUK",'2. Roles &amp; Pricing'!AF$48:AF$147,"Yes"),"")</f>
        <v>0</v>
      </c>
    </row>
    <row r="37" spans="2:8" x14ac:dyDescent="0.3">
      <c r="B37" s="974" t="s">
        <v>207</v>
      </c>
      <c r="C37" s="928">
        <f>IFERROR(COUNTIFS('2. Roles &amp; Pricing'!$C$48:$C$147,"SmartDigital",'2. Roles &amp; Pricing'!AC$48:AC$147,"Yes")/'Optional Pricing Scenarios Eval'!C$28,"")</f>
        <v>0</v>
      </c>
      <c r="D37" s="1102">
        <f>IFERROR(SUMIFS('2. Roles &amp; Pricing'!$D$291:$D$390,'2. Roles &amp; Pricing'!$C$48:$C$147,"SmartDigital",'2. Roles &amp; Pricing'!AC$48:AC$147,"Yes"),"")</f>
        <v>0</v>
      </c>
      <c r="E37" s="928">
        <f>IFERROR(COUNTIFS('2. Roles &amp; Pricing'!$C$48:$C$147,"SmartDigital",'2. Roles &amp; Pricing'!AD$48:AD$147,"Yes")/'Optional Pricing Scenarios Eval'!D$28,"")</f>
        <v>0</v>
      </c>
      <c r="F37" s="1102">
        <f>IFERROR(SUMIFS('2. Roles &amp; Pricing'!$D$291:$D$390,'2. Roles &amp; Pricing'!$C$48:$C$147,"SmartDigital",'2. Roles &amp; Pricing'!AD$48:AD$147,"Yes"),"")</f>
        <v>0</v>
      </c>
      <c r="G37" s="928">
        <f>IFERROR(COUNTIFS('2. Roles &amp; Pricing'!$C$48:$C$147,"SmartDigital",'2. Roles &amp; Pricing'!AF$48:AF$147,"Yes")/'Optional Pricing Scenarios Eval'!E$28,"")</f>
        <v>0</v>
      </c>
      <c r="H37" s="1128">
        <f>IFERROR(SUMIFS('2. Roles &amp; Pricing'!$D$291:$D$390,'2. Roles &amp; Pricing'!$C$48:$C$147,"SmartDigital",'2. Roles &amp; Pricing'!AF$48:AF$147,"Yes"),"")</f>
        <v>0</v>
      </c>
    </row>
    <row r="38" spans="2:8" x14ac:dyDescent="0.3">
      <c r="B38" s="975" t="s">
        <v>208</v>
      </c>
      <c r="C38" s="928">
        <f>IFERROR(SUMIFS('2. Roles &amp; Pricing'!$AG$48:$AG$147,'2. Roles &amp; Pricing'!$C$48:$C$147,"CrederaIndia",'2. Roles &amp; Pricing'!AC$48:AC$147,"Yes")+SUMIFS('2. Roles &amp; Pricing'!$AG$48:$AG$147,'2. Roles &amp; Pricing'!$C$48:$C$147,"CrederaLATAM",'2. Roles &amp; Pricing'!AC$48:AC$147,"Yes")/C$28,"")</f>
        <v>0</v>
      </c>
      <c r="D38" s="958" t="str">
        <f>IFERROR(SUMIFS('2. Roles &amp; Pricing'!$D$291:$D$390,'2. Roles &amp; Pricing'!$C$48:$C$147,"CrederaIndia",'2. Roles &amp; Pricing'!$AC$48:$AC$147,"Yes")+SUMIFS('2. Roles &amp; Pricing'!$C$48:$CN$147,'2. Roles &amp; Pricing'!$C$48:$C$147,"CrederaLATAM",'2. Roles &amp; Pricing'!$AC$48:$AC$147,"Yes"),"")</f>
        <v/>
      </c>
      <c r="E38" s="928">
        <f>IFERROR(COUNTIFS('2. Roles &amp; Pricing'!$C$48:$C$147,"CrederaUS",'2. Roles &amp; Pricing'!AD$48:AD$147,"Yes")/'Optional Pricing Scenarios Eval'!D$28,"")</f>
        <v>0</v>
      </c>
      <c r="F38" s="1102">
        <f>IFERROR(SUMIFS('2. Roles &amp; Pricing'!$D$291:$D$390,'2. Roles &amp; Pricing'!$C$48:$C$147,"CrederaIndia",'2. Roles &amp; Pricing'!$AD$48:$AD$147,"Yes")+SUMIFS('2. Roles &amp; Pricing'!$D$291:$D$390,'2. Roles &amp; Pricing'!$C$48:$C$147,"CrederaLATAM",'2. Roles &amp; Pricing'!$AD$48:$AD$147,"Yes"),"")</f>
        <v>0</v>
      </c>
      <c r="G38" s="928">
        <f>IFERROR(SUM(COUNTIFS('2. Roles &amp; Pricing'!$C$48:$C$147,"CrederaLATAM",'2. Roles &amp; Pricing'!AF$48:AF$147,"Yes"),COUNTIFS('2. Roles &amp; Pricing'!$C$48:$C$147,"CrederaIndia",'2. Roles &amp; Pricing'!AF$48:AF$147,"Yes"))/'Optional Pricing Scenarios Eval'!E$28,"")</f>
        <v>0</v>
      </c>
      <c r="H38" s="1128">
        <f>IFERROR(SUMIFS('2. Roles &amp; Pricing'!$D$291:$D$390,'2. Roles &amp; Pricing'!$C$48:$C$147,"CrederaIndia",'2. Roles &amp; Pricing'!$AF$48:$AF$147,"Yes")+SUMIFS('2. Roles &amp; Pricing'!$D$291:$D$390,'2. Roles &amp; Pricing'!$C$48:$C$147,"CrederaLATAM",'2. Roles &amp; Pricing'!$AF$48:$AF$147,"Yes"),"")</f>
        <v>0</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Pricing'!$C$48:$C$147,"Areteans",'2. Roles &amp; Pricing'!AC$48:AC$147,"Yes")/'Optional Pricing Scenarios Eval'!C$28,"")</f>
        <v>0</v>
      </c>
      <c r="D40" s="1129">
        <f>IFERROR(SUMIFS('2. Roles &amp; Pricing'!$D$291:$D$390,'2. Roles &amp; Pricing'!$C$48:$C$147,"Areteans",'2. Roles &amp; Pricing'!$AC$48:$AC$147,"Yes"),"")</f>
        <v>0</v>
      </c>
      <c r="E40" s="939">
        <f>IFERROR(COUNTIFS('2. Roles &amp; Pricing'!$C$48:$C$147,"Areteans",'2. Roles &amp; Pricing'!AD$48:AD$147,"Yes")/'Optional Pricing Scenarios Eval'!D$28,"")</f>
        <v>0</v>
      </c>
      <c r="F40" s="1129">
        <f>IFERROR(SUMIFS('2. Roles &amp; Pricing'!$D$291:$D$390,'2. Roles &amp; Pricing'!$C$48:$C$147,"Areteans",'2. Roles &amp; Pricing'!AD$48:AD$147,"Yes"),"")</f>
        <v>0</v>
      </c>
      <c r="G40" s="939">
        <f>IFERROR(COUNTIFS('2. Roles &amp; Pricing'!$C$48:$C$147,"Areteans",'2. Roles &amp; Pricing'!AF$48:AF$147,"Yes")/'Optional Pricing Scenarios Eval'!E$28,"")</f>
        <v>0</v>
      </c>
      <c r="H40" s="1130">
        <f>IFERROR(SUMIFS('2. Roles &amp; Pricing'!$D$291:$D$390,'2. Roles &amp; Pricing'!$C$48:$C$147,"Areteans",'2. Roles &amp; Pricing'!AF$48:AF$147,"Yes"),"")</f>
        <v>0</v>
      </c>
    </row>
  </sheetData>
  <mergeCells count="7">
    <mergeCell ref="B7:G7"/>
    <mergeCell ref="B10:G10"/>
    <mergeCell ref="C31:D31"/>
    <mergeCell ref="E31:F31"/>
    <mergeCell ref="G31:H31"/>
    <mergeCell ref="B30:H30"/>
    <mergeCell ref="B31:B32"/>
  </mergeCells>
  <conditionalFormatting sqref="B16:B17">
    <cfRule type="cellIs" dxfId="68" priority="1" operator="equal">
      <formula>"Onshore"</formula>
    </cfRule>
    <cfRule type="cellIs" dxfId="67" priority="2" operator="equal">
      <formula>"Onsite"</formula>
    </cfRule>
    <cfRule type="cellIs" dxfId="66" priority="3" operator="equal">
      <formula>"Onsite"</formula>
    </cfRule>
    <cfRule type="cellIs" dxfId="65"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64"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50" t="s">
        <v>1299</v>
      </c>
      <c r="B1" s="1650"/>
      <c r="C1" s="1650"/>
    </row>
    <row r="2" spans="1:34" s="469" customFormat="1" x14ac:dyDescent="0.3">
      <c r="A2" s="1650"/>
      <c r="B2" s="1650"/>
      <c r="C2" s="1650"/>
    </row>
    <row r="3" spans="1:34" x14ac:dyDescent="0.3">
      <c r="A3" s="2025" t="s">
        <v>232</v>
      </c>
      <c r="B3" s="2026"/>
      <c r="C3" s="2026"/>
      <c r="D3" s="2026"/>
      <c r="E3" s="2026"/>
      <c r="F3" s="2026"/>
      <c r="G3" s="202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27" t="s">
        <v>1192</v>
      </c>
      <c r="Y7" s="2027"/>
      <c r="Z7" s="2024" t="s">
        <v>1315</v>
      </c>
      <c r="AA7" s="2024"/>
      <c r="AB7" s="2024" t="s">
        <v>1316</v>
      </c>
      <c r="AC7" s="2024"/>
      <c r="AD7" s="2024" t="s">
        <v>1317</v>
      </c>
      <c r="AE7" s="2024"/>
      <c r="AF7" s="2024" t="s">
        <v>1318</v>
      </c>
      <c r="AG7" s="202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28" t="s">
        <v>1111</v>
      </c>
      <c r="C2" s="2028"/>
      <c r="D2" s="2028"/>
      <c r="E2" s="2028"/>
      <c r="F2" s="2028" t="s">
        <v>1112</v>
      </c>
      <c r="G2" s="202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29" t="s">
        <v>1163</v>
      </c>
      <c r="I2" s="202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35"/>
      <c r="B1" s="2035"/>
      <c r="C1" s="2035"/>
      <c r="D1" s="134"/>
      <c r="E1" s="134"/>
      <c r="F1" s="134"/>
      <c r="G1" s="134"/>
    </row>
    <row r="2" spans="1:9" ht="14.25" customHeight="1" x14ac:dyDescent="0.3">
      <c r="A2" s="2035"/>
      <c r="B2" s="2035"/>
      <c r="C2" s="2035"/>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33" t="s">
        <v>28</v>
      </c>
      <c r="C10" s="2039"/>
      <c r="D10" s="2039"/>
      <c r="E10" s="2034"/>
      <c r="F10" s="103"/>
      <c r="H10" s="2036"/>
      <c r="I10" s="2036"/>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33" t="s">
        <v>1276</v>
      </c>
      <c r="C22" s="203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33" t="s">
        <v>1278</v>
      </c>
      <c r="C30" s="203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37" t="s">
        <v>1282</v>
      </c>
      <c r="C39" s="2038"/>
      <c r="D39" s="2038"/>
      <c r="E39" s="2038"/>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33" t="s">
        <v>1284</v>
      </c>
      <c r="C48" s="203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33" t="s">
        <v>1287</v>
      </c>
      <c r="C56" s="203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30" t="s">
        <v>1290</v>
      </c>
      <c r="C64" s="2031"/>
      <c r="D64" s="2032"/>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2.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customXml/itemProps3.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Katie Stevenson (Credera)</cp:lastModifiedBy>
  <cp:revision/>
  <dcterms:created xsi:type="dcterms:W3CDTF">2024-10-02T20:28:22Z</dcterms:created>
  <dcterms:modified xsi:type="dcterms:W3CDTF">2025-08-20T12:17:27Z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