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3C35E61F-F7C2-4B69-B4A8-B6E42B01681D}" xr6:coauthVersionLast="47" xr6:coauthVersionMax="47" xr10:uidLastSave="{00000000-0000-0000-0000-000000000000}"/>
  <bookViews>
    <workbookView xWindow="-110" yWindow="-110" windowWidth="19420" windowHeight="10300" firstSheet="1" activeTab="5"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mp;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 r:id="rId25"/>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3"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28" l="1"/>
  <c r="M24" i="13"/>
  <c r="M23" i="13"/>
  <c r="M22" i="13"/>
  <c r="M21" i="13"/>
  <c r="H5" i="28" l="1"/>
  <c r="BT36" i="28" s="1"/>
  <c r="H22" i="28"/>
  <c r="H23" i="28"/>
  <c r="H24" i="28"/>
  <c r="H25" i="28"/>
  <c r="H26" i="28"/>
  <c r="H27" i="28"/>
  <c r="H28" i="28"/>
  <c r="H29" i="28"/>
  <c r="H30" i="28"/>
  <c r="H31" i="28"/>
  <c r="H32" i="28"/>
  <c r="H33" i="28"/>
  <c r="H17" i="28"/>
  <c r="H18" i="28"/>
  <c r="H19" i="28"/>
  <c r="H20" i="28"/>
  <c r="H21" i="28"/>
  <c r="H16" i="28"/>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s="1"/>
  <c r="O60" i="13" a="1"/>
  <c r="O60" i="13" s="1"/>
  <c r="O61" i="13" a="1"/>
  <c r="O61" i="13" s="1"/>
  <c r="O62" i="13" a="1"/>
  <c r="O62" i="13" s="1"/>
  <c r="O63" i="13" a="1"/>
  <c r="O63" i="13" s="1"/>
  <c r="O64" i="13" a="1"/>
  <c r="O64" i="13" s="1"/>
  <c r="O65" i="13" a="1"/>
  <c r="O65" i="13" s="1"/>
  <c r="O66" i="13" a="1"/>
  <c r="O66" i="13" s="1"/>
  <c r="O67" i="13" a="1"/>
  <c r="O67" i="13" s="1"/>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c r="O81" i="13" a="1"/>
  <c r="O81" i="13" s="1"/>
  <c r="O82" i="13" a="1"/>
  <c r="O82" i="13" s="1"/>
  <c r="O83" i="13" a="1"/>
  <c r="O83" i="13" s="1"/>
  <c r="O84" i="13" a="1"/>
  <c r="O84" i="13" s="1"/>
  <c r="O85" i="13" a="1"/>
  <c r="O85" i="13" s="1"/>
  <c r="O86" i="13" a="1"/>
  <c r="O86" i="13" s="1"/>
  <c r="O87" i="13" a="1"/>
  <c r="O87" i="13"/>
  <c r="O88" i="13" a="1"/>
  <c r="O88" i="13" s="1"/>
  <c r="O89" i="13" a="1"/>
  <c r="O89" i="13" s="1"/>
  <c r="O90" i="13" a="1"/>
  <c r="O90" i="13" s="1"/>
  <c r="O91" i="13" a="1"/>
  <c r="O91" i="13" s="1"/>
  <c r="O92" i="13" a="1"/>
  <c r="O92" i="13"/>
  <c r="O93" i="13" a="1"/>
  <c r="O93" i="13" s="1"/>
  <c r="O94" i="13" a="1"/>
  <c r="O94" i="13"/>
  <c r="O95" i="13" a="1"/>
  <c r="O95" i="13" s="1"/>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s="1"/>
  <c r="O112" i="13" a="1"/>
  <c r="O112" i="13" s="1"/>
  <c r="O113" i="13" a="1"/>
  <c r="O113" i="13" s="1"/>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c r="O137" i="13" a="1"/>
  <c r="O137" i="13" s="1"/>
  <c r="O138" i="13" a="1"/>
  <c r="O138" i="13" s="1"/>
  <c r="O139" i="13" a="1"/>
  <c r="O139" i="13" s="1"/>
  <c r="O140" i="13" a="1"/>
  <c r="O140" i="13" s="1"/>
  <c r="O141" i="13" a="1"/>
  <c r="O141" i="13" s="1"/>
  <c r="O142" i="13" a="1"/>
  <c r="O142" i="13" s="1"/>
  <c r="O143" i="13" a="1"/>
  <c r="O143" i="13"/>
  <c r="O144" i="13" a="1"/>
  <c r="O144" i="13" s="1"/>
  <c r="O145" i="13" a="1"/>
  <c r="O145" i="13" s="1"/>
  <c r="O146" i="13" a="1"/>
  <c r="O146" i="13" s="1"/>
  <c r="O147" i="13" a="1"/>
  <c r="O147" i="13" s="1"/>
  <c r="Q17" i="28"/>
  <c r="P17" i="28"/>
  <c r="O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s="1"/>
  <c r="V51" i="13" s="1"/>
  <c r="N52" i="13" a="1"/>
  <c r="N52" i="13" s="1"/>
  <c r="N53" i="13" a="1"/>
  <c r="N53" i="13" s="1"/>
  <c r="N54" i="13" a="1"/>
  <c r="N54" i="13" s="1"/>
  <c r="N55" i="13" a="1"/>
  <c r="N55" i="13" s="1"/>
  <c r="N56" i="13" a="1"/>
  <c r="N56" i="13" s="1"/>
  <c r="N57" i="13" a="1"/>
  <c r="N57" i="13" s="1"/>
  <c r="N58" i="13" a="1"/>
  <c r="N58" i="13" s="1"/>
  <c r="N59" i="13" a="1"/>
  <c r="N59" i="13" s="1"/>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s="1"/>
  <c r="N72" i="13" a="1"/>
  <c r="N72" i="13" s="1"/>
  <c r="N73" i="13" a="1"/>
  <c r="N73" i="13" s="1"/>
  <c r="N74" i="13" a="1"/>
  <c r="N74" i="13" s="1"/>
  <c r="N75" i="13" a="1"/>
  <c r="N75" i="13" s="1"/>
  <c r="N76" i="13" a="1"/>
  <c r="N76" i="13" s="1"/>
  <c r="N77" i="13" a="1"/>
  <c r="N77" i="13" s="1"/>
  <c r="N78" i="13" a="1"/>
  <c r="N78" i="13" s="1"/>
  <c r="N79" i="13" a="1"/>
  <c r="N79" i="13"/>
  <c r="N80" i="13" a="1"/>
  <c r="N80" i="13" s="1"/>
  <c r="N81" i="13" a="1"/>
  <c r="N81" i="13" s="1"/>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s="1"/>
  <c r="N93" i="13" a="1"/>
  <c r="N93" i="13" s="1"/>
  <c r="N94" i="13" a="1"/>
  <c r="N94" i="13" s="1"/>
  <c r="N95" i="13" a="1"/>
  <c r="N95" i="13" s="1"/>
  <c r="N96" i="13" a="1"/>
  <c r="N96" i="13" s="1"/>
  <c r="N97" i="13" a="1"/>
  <c r="N97" i="13" s="1"/>
  <c r="N98" i="13" a="1"/>
  <c r="N98" i="13" s="1"/>
  <c r="N99" i="13" a="1"/>
  <c r="N99" i="13" s="1"/>
  <c r="N100" i="13" a="1"/>
  <c r="N100" i="13" s="1"/>
  <c r="N101" i="13" a="1"/>
  <c r="N101" i="13" s="1"/>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s="1"/>
  <c r="N112" i="13" a="1"/>
  <c r="N112" i="13" s="1"/>
  <c r="N113" i="13" a="1"/>
  <c r="N113" i="13" s="1"/>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s="1"/>
  <c r="N142" i="13" a="1"/>
  <c r="N142" i="13" s="1"/>
  <c r="N143" i="13" a="1"/>
  <c r="N143" i="13" s="1"/>
  <c r="N144" i="13" a="1"/>
  <c r="N144" i="13" s="1"/>
  <c r="N145" i="13" a="1"/>
  <c r="N145" i="13" s="1"/>
  <c r="N146" i="13" a="1"/>
  <c r="N146" i="13"/>
  <c r="N147" i="13" a="1"/>
  <c r="N147" i="13" s="1"/>
  <c r="N48" i="13" a="1"/>
  <c r="N48" i="13" s="1"/>
  <c r="I293" i="13" a="1"/>
  <c r="I293" i="13" s="1"/>
  <c r="BS18" i="28" s="1"/>
  <c r="I294" i="13" a="1"/>
  <c r="I294" i="13" s="1"/>
  <c r="BS19" i="28" s="1"/>
  <c r="I295" i="13" a="1"/>
  <c r="I295" i="13" s="1"/>
  <c r="BS20" i="28" s="1"/>
  <c r="I296" i="13" a="1"/>
  <c r="I296" i="13" s="1"/>
  <c r="BS21" i="28" s="1"/>
  <c r="I297" i="13" a="1"/>
  <c r="I297" i="13" s="1"/>
  <c r="BS22" i="28" s="1"/>
  <c r="I298" i="13" a="1"/>
  <c r="I298" i="13" s="1"/>
  <c r="BS23" i="28" s="1"/>
  <c r="I299" i="13" a="1"/>
  <c r="I299" i="13" s="1"/>
  <c r="BS24" i="28" s="1"/>
  <c r="I300" i="13" a="1"/>
  <c r="I300" i="13" s="1"/>
  <c r="BS25" i="28" s="1"/>
  <c r="I301" i="13" a="1"/>
  <c r="I301" i="13" s="1"/>
  <c r="BS26" i="28" s="1"/>
  <c r="I302" i="13" a="1"/>
  <c r="I302" i="13" s="1"/>
  <c r="BS27" i="28" s="1"/>
  <c r="I303" i="13" a="1"/>
  <c r="I303" i="13" s="1"/>
  <c r="BS28" i="28" s="1"/>
  <c r="I304" i="13" a="1"/>
  <c r="I304" i="13" s="1"/>
  <c r="BS29" i="28" s="1"/>
  <c r="I305" i="13" a="1"/>
  <c r="I305" i="13" s="1"/>
  <c r="BS30" i="28" s="1"/>
  <c r="I306" i="13" a="1"/>
  <c r="I306" i="13" s="1"/>
  <c r="BS31" i="28" s="1"/>
  <c r="I307" i="13" a="1"/>
  <c r="I307" i="13" s="1"/>
  <c r="BS32" i="28" s="1"/>
  <c r="I308" i="13" a="1"/>
  <c r="I308" i="13" s="1"/>
  <c r="BS33" i="28"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BS16" i="28" s="1"/>
  <c r="I292" i="13" a="1"/>
  <c r="I292" i="13" s="1"/>
  <c r="BS17" i="28" s="1"/>
  <c r="K293" i="13" a="1"/>
  <c r="K293" i="13" s="1"/>
  <c r="K294" i="13" a="1"/>
  <c r="K294" i="13"/>
  <c r="K295" i="13" a="1"/>
  <c r="K295" i="13"/>
  <c r="K296" i="13" a="1"/>
  <c r="K296" i="13"/>
  <c r="K297" i="13" a="1"/>
  <c r="K297" i="13" s="1"/>
  <c r="K298" i="13" a="1"/>
  <c r="K298" i="13"/>
  <c r="K299" i="13" a="1"/>
  <c r="K299" i="13"/>
  <c r="K300" i="13" a="1"/>
  <c r="K300" i="13"/>
  <c r="K301" i="13" a="1"/>
  <c r="K301" i="13" s="1"/>
  <c r="K302" i="13" a="1"/>
  <c r="K302" i="13"/>
  <c r="K303" i="13" a="1"/>
  <c r="K303" i="13"/>
  <c r="K304" i="13" a="1"/>
  <c r="K304" i="13"/>
  <c r="K305" i="13" a="1"/>
  <c r="K305" i="13" s="1"/>
  <c r="K306" i="13" a="1"/>
  <c r="K306" i="13"/>
  <c r="K307" i="13" a="1"/>
  <c r="K307" i="13"/>
  <c r="K308" i="13" a="1"/>
  <c r="K308" i="13"/>
  <c r="K309" i="13" a="1"/>
  <c r="K309" i="13" s="1"/>
  <c r="K310" i="13" a="1"/>
  <c r="K310" i="13"/>
  <c r="K311" i="13" a="1"/>
  <c r="K311" i="13"/>
  <c r="K312" i="13" a="1"/>
  <c r="K312" i="13"/>
  <c r="K313" i="13" a="1"/>
  <c r="K313" i="13" s="1"/>
  <c r="K314" i="13" a="1"/>
  <c r="K314" i="13"/>
  <c r="K315" i="13" a="1"/>
  <c r="K315" i="13"/>
  <c r="K316" i="13" a="1"/>
  <c r="K316" i="13"/>
  <c r="K317" i="13" a="1"/>
  <c r="K317" i="13" s="1"/>
  <c r="K318" i="13" a="1"/>
  <c r="K318" i="13" s="1"/>
  <c r="K319" i="13" a="1"/>
  <c r="K319" i="13" s="1"/>
  <c r="K320" i="13" a="1"/>
  <c r="K320" i="13" s="1"/>
  <c r="K321" i="13" a="1"/>
  <c r="K321" i="13" s="1"/>
  <c r="K322" i="13" a="1"/>
  <c r="K322" i="13"/>
  <c r="K323" i="13" a="1"/>
  <c r="K323" i="13" s="1"/>
  <c r="K324" i="13" a="1"/>
  <c r="K324" i="13" s="1"/>
  <c r="K325" i="13" a="1"/>
  <c r="K325" i="13"/>
  <c r="K326" i="13" a="1"/>
  <c r="K326" i="13" s="1"/>
  <c r="K327" i="13" a="1"/>
  <c r="K327" i="13" s="1"/>
  <c r="K328" i="13" a="1"/>
  <c r="K328" i="13" s="1"/>
  <c r="K329" i="13" a="1"/>
  <c r="K329" i="13"/>
  <c r="K330" i="13" a="1"/>
  <c r="K330" i="13"/>
  <c r="K331" i="13" a="1"/>
  <c r="K331" i="13" s="1"/>
  <c r="K332" i="13" a="1"/>
  <c r="K332" i="13"/>
  <c r="K333" i="13" a="1"/>
  <c r="K333" i="13" s="1"/>
  <c r="K334" i="13" a="1"/>
  <c r="K334" i="13" s="1"/>
  <c r="K335" i="13" a="1"/>
  <c r="K335" i="13"/>
  <c r="K336" i="13" a="1"/>
  <c r="K336" i="13" s="1"/>
  <c r="K337" i="13" a="1"/>
  <c r="K337" i="13"/>
  <c r="K338" i="13" a="1"/>
  <c r="K338" i="13" s="1"/>
  <c r="K339" i="13" a="1"/>
  <c r="K339" i="13"/>
  <c r="K340" i="13" a="1"/>
  <c r="K340" i="13" s="1"/>
  <c r="K341" i="13" a="1"/>
  <c r="K341" i="13" s="1"/>
  <c r="K342" i="13" a="1"/>
  <c r="K342" i="13"/>
  <c r="K343" i="13" a="1"/>
  <c r="K343" i="13" s="1"/>
  <c r="K344" i="13" a="1"/>
  <c r="K344" i="13"/>
  <c r="K345" i="13" a="1"/>
  <c r="K345" i="13" s="1"/>
  <c r="K346" i="13" a="1"/>
  <c r="K346" i="13" s="1"/>
  <c r="K347" i="13" a="1"/>
  <c r="K347" i="13"/>
  <c r="K348" i="13" a="1"/>
  <c r="K348" i="13" s="1"/>
  <c r="K349" i="13" a="1"/>
  <c r="K349" i="13"/>
  <c r="K350" i="13" a="1"/>
  <c r="K350" i="13"/>
  <c r="K351" i="13" a="1"/>
  <c r="K351" i="13"/>
  <c r="K352" i="13" a="1"/>
  <c r="K352" i="13" s="1"/>
  <c r="K353" i="13" a="1"/>
  <c r="K353" i="13"/>
  <c r="K354" i="13" a="1"/>
  <c r="K354" i="13"/>
  <c r="K355" i="13" a="1"/>
  <c r="K355" i="13" s="1"/>
  <c r="K356" i="13" a="1"/>
  <c r="K356" i="13"/>
  <c r="K357" i="13" a="1"/>
  <c r="K357" i="13" s="1"/>
  <c r="K358" i="13" a="1"/>
  <c r="K358" i="13"/>
  <c r="K359" i="13" a="1"/>
  <c r="K359" i="13" s="1"/>
  <c r="K360" i="13" a="1"/>
  <c r="K360" i="13"/>
  <c r="K361" i="13" a="1"/>
  <c r="K361" i="13" s="1"/>
  <c r="K362" i="13" a="1"/>
  <c r="K362" i="13" s="1"/>
  <c r="K363" i="13" a="1"/>
  <c r="K363" i="13"/>
  <c r="K364" i="13" a="1"/>
  <c r="K364" i="13"/>
  <c r="K365" i="13" a="1"/>
  <c r="K365" i="13" s="1"/>
  <c r="K366" i="13" a="1"/>
  <c r="K366" i="13"/>
  <c r="K367" i="13" a="1"/>
  <c r="K367" i="13"/>
  <c r="K368" i="13" a="1"/>
  <c r="K368" i="13"/>
  <c r="K369" i="13" a="1"/>
  <c r="K369" i="13" s="1"/>
  <c r="K370" i="13" a="1"/>
  <c r="K370" i="13" s="1"/>
  <c r="K371" i="13" a="1"/>
  <c r="K371" i="13"/>
  <c r="K372" i="13" a="1"/>
  <c r="K372" i="13" s="1"/>
  <c r="K373" i="13" a="1"/>
  <c r="K373" i="13"/>
  <c r="K374" i="13" a="1"/>
  <c r="K374" i="13" s="1"/>
  <c r="K375" i="13" a="1"/>
  <c r="K375" i="13"/>
  <c r="K376" i="13" a="1"/>
  <c r="K376" i="13" s="1"/>
  <c r="K377" i="13" a="1"/>
  <c r="K377" i="13"/>
  <c r="K378" i="13" a="1"/>
  <c r="K378" i="13" s="1"/>
  <c r="K379" i="13" a="1"/>
  <c r="K379" i="13"/>
  <c r="K380" i="13" a="1"/>
  <c r="K380" i="13"/>
  <c r="K381" i="13" a="1"/>
  <c r="K381" i="13"/>
  <c r="K382" i="13" a="1"/>
  <c r="K382" i="13" s="1"/>
  <c r="K383" i="13" a="1"/>
  <c r="K383" i="13" s="1"/>
  <c r="K384" i="13" a="1"/>
  <c r="K384" i="13"/>
  <c r="K385" i="13" a="1"/>
  <c r="K385" i="13" s="1"/>
  <c r="K386" i="13" a="1"/>
  <c r="K386" i="13"/>
  <c r="K387" i="13" a="1"/>
  <c r="K387" i="13" s="1"/>
  <c r="K388" i="13" a="1"/>
  <c r="K388" i="13"/>
  <c r="K389" i="13" a="1"/>
  <c r="K389" i="13" s="1"/>
  <c r="K390" i="13" a="1"/>
  <c r="K390" i="13" s="1"/>
  <c r="K292" i="13" a="1"/>
  <c r="K292" i="13" s="1"/>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3"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49" i="1"/>
  <c r="CU62" i="1"/>
  <c r="CU70" i="1"/>
  <c r="CU77" i="1"/>
  <c r="CU98" i="1"/>
  <c r="CU105" i="1"/>
  <c r="CU118" i="1"/>
  <c r="CU133" i="1"/>
  <c r="CU146" i="1"/>
  <c r="CU161" i="1"/>
  <c r="CU189" i="1"/>
  <c r="CU210" i="1"/>
  <c r="CU217"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175" i="1" l="1"/>
  <c r="CU174" i="1"/>
  <c r="CU154" i="1"/>
  <c r="CU34" i="1"/>
  <c r="CU7" i="1"/>
  <c r="CU412" i="1"/>
  <c r="CU63" i="1"/>
  <c r="CU119" i="1"/>
  <c r="CU328"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6" i="28" s="1"/>
  <c r="I170" i="13"/>
  <c r="O16" i="28" s="1"/>
  <c r="M171" i="13"/>
  <c r="R17"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8" i="28" s="1"/>
  <c r="AJ210" i="13"/>
  <c r="BB229" i="13"/>
  <c r="AU241" i="13"/>
  <c r="BC249" i="13"/>
  <c r="AH259" i="13"/>
  <c r="BE267" i="13"/>
  <c r="Y186" i="13"/>
  <c r="AA32" i="28" s="1"/>
  <c r="AB231" i="13"/>
  <c r="AB170" i="13"/>
  <c r="AD16" i="28" s="1"/>
  <c r="U241" i="13"/>
  <c r="S215" i="13"/>
  <c r="R207" i="13"/>
  <c r="Q179" i="13"/>
  <c r="Q257" i="13"/>
  <c r="P242" i="13"/>
  <c r="O224" i="13"/>
  <c r="N209" i="13"/>
  <c r="M181" i="13"/>
  <c r="R27"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5" i="28" s="1"/>
  <c r="BF234" i="13"/>
  <c r="AY245" i="13"/>
  <c r="BM262" i="13"/>
  <c r="AA255" i="13"/>
  <c r="T264" i="13"/>
  <c r="Q221" i="13"/>
  <c r="M225" i="13"/>
  <c r="F181" i="13"/>
  <c r="N27" i="28" s="1"/>
  <c r="AL190" i="13"/>
  <c r="AU219" i="13"/>
  <c r="BL234" i="13"/>
  <c r="BF245" i="13"/>
  <c r="BN254" i="13"/>
  <c r="AT264" i="13"/>
  <c r="AU170" i="13"/>
  <c r="AS16" i="28" s="1"/>
  <c r="AB213" i="13"/>
  <c r="AB255" i="13"/>
  <c r="T212" i="13"/>
  <c r="T268" i="13"/>
  <c r="S253" i="13"/>
  <c r="R241" i="13"/>
  <c r="Q222" i="13"/>
  <c r="P208" i="13"/>
  <c r="O180" i="13"/>
  <c r="O259" i="13"/>
  <c r="N244" i="13"/>
  <c r="M226" i="13"/>
  <c r="L211" i="13"/>
  <c r="K182" i="13"/>
  <c r="P28" i="28" s="1"/>
  <c r="K254" i="13"/>
  <c r="I226" i="13"/>
  <c r="F182" i="13"/>
  <c r="N28" i="28" s="1"/>
  <c r="F247" i="13"/>
  <c r="BA211" i="13"/>
  <c r="AU231" i="13"/>
  <c r="BO242" i="13"/>
  <c r="BN251" i="13"/>
  <c r="AP261" i="13"/>
  <c r="AR268" i="13"/>
  <c r="Y194" i="13"/>
  <c r="AA244" i="13"/>
  <c r="T188" i="13"/>
  <c r="T248" i="13"/>
  <c r="S221" i="13"/>
  <c r="R212" i="13"/>
  <c r="Q194" i="13"/>
  <c r="P179" i="13"/>
  <c r="P251" i="13"/>
  <c r="O231" i="13"/>
  <c r="N216" i="13"/>
  <c r="M197" i="13"/>
  <c r="L183" i="13"/>
  <c r="Q29" i="28" s="1"/>
  <c r="L255" i="13"/>
  <c r="K228" i="13"/>
  <c r="I201" i="13"/>
  <c r="I259" i="13"/>
  <c r="F228" i="13"/>
  <c r="AM219" i="13"/>
  <c r="AS253" i="13"/>
  <c r="BD262" i="13"/>
  <c r="AJ170" i="13"/>
  <c r="AH16" i="28" s="1"/>
  <c r="AA207" i="13"/>
  <c r="AA249" i="13"/>
  <c r="T194" i="13"/>
  <c r="U263" i="13"/>
  <c r="S247" i="13"/>
  <c r="Q207" i="13"/>
  <c r="P187" i="13"/>
  <c r="O172" i="13"/>
  <c r="N239" i="13"/>
  <c r="K174" i="13"/>
  <c r="P20"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4"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30" i="28" s="1"/>
  <c r="L269" i="13"/>
  <c r="K234" i="13"/>
  <c r="I205" i="13"/>
  <c r="I265" i="13"/>
  <c r="F229" i="13"/>
  <c r="L170" i="13"/>
  <c r="Q16" i="28" s="1"/>
  <c r="K247" i="13"/>
  <c r="I206" i="13"/>
  <c r="F175" i="13"/>
  <c r="N21" i="28" s="1"/>
  <c r="F233" i="13"/>
  <c r="AR245" i="13"/>
  <c r="R235" i="13"/>
  <c r="O253" i="13"/>
  <c r="M211" i="13"/>
  <c r="K248" i="13"/>
  <c r="F176" i="13"/>
  <c r="N22" i="28" s="1"/>
  <c r="BB178" i="13"/>
  <c r="AZ24" i="28" s="1"/>
  <c r="BM254" i="13"/>
  <c r="AP170" i="13"/>
  <c r="AN16" i="28" s="1"/>
  <c r="T200" i="13"/>
  <c r="R236" i="13"/>
  <c r="O173" i="13"/>
  <c r="N240" i="13"/>
  <c r="K175" i="13"/>
  <c r="P21" i="28" s="1"/>
  <c r="K253" i="13"/>
  <c r="F241" i="13"/>
  <c r="AI171" i="13"/>
  <c r="AG17" i="28" s="1"/>
  <c r="BO215" i="13"/>
  <c r="AT233" i="13"/>
  <c r="AP243" i="13"/>
  <c r="BA252" i="13"/>
  <c r="BO261" i="13"/>
  <c r="AU269" i="13"/>
  <c r="AA198" i="13"/>
  <c r="AA246" i="13"/>
  <c r="U193" i="13"/>
  <c r="U260" i="13"/>
  <c r="S245" i="13"/>
  <c r="R221" i="13"/>
  <c r="Q200" i="13"/>
  <c r="P185" i="13"/>
  <c r="P266" i="13"/>
  <c r="O252" i="13"/>
  <c r="N224" i="13"/>
  <c r="M203" i="13"/>
  <c r="L188" i="13"/>
  <c r="Q34" i="28" s="1"/>
  <c r="AN171" i="13"/>
  <c r="AL17" i="28" s="1"/>
  <c r="AO206" i="13"/>
  <c r="BO226" i="13"/>
  <c r="BE239" i="13"/>
  <c r="AW249" i="13"/>
  <c r="BN257" i="13"/>
  <c r="BK206" i="13"/>
  <c r="BA229" i="13"/>
  <c r="BK239" i="13"/>
  <c r="BB249" i="13"/>
  <c r="BO258" i="13"/>
  <c r="AV267" i="13"/>
  <c r="AB177" i="13"/>
  <c r="AD23" i="28" s="1"/>
  <c r="AA231" i="13"/>
  <c r="AA170" i="13"/>
  <c r="AC16" i="28" s="1"/>
  <c r="T238" i="13"/>
  <c r="S213" i="13"/>
  <c r="R192" i="13"/>
  <c r="Q171" i="13"/>
  <c r="Q256" i="13"/>
  <c r="P238" i="13"/>
  <c r="O223" i="13"/>
  <c r="N195" i="13"/>
  <c r="M175" i="13"/>
  <c r="R21" i="28" s="1"/>
  <c r="M260" i="13"/>
  <c r="L241" i="13"/>
  <c r="K221" i="13"/>
  <c r="I187" i="13"/>
  <c r="O33" i="28" s="1"/>
  <c r="L240" i="13"/>
  <c r="N182" i="13"/>
  <c r="L225" i="13"/>
  <c r="N181" i="13"/>
  <c r="R185" i="13"/>
  <c r="AA224" i="13"/>
  <c r="I239" i="13"/>
  <c r="L217" i="13"/>
  <c r="O201" i="13"/>
  <c r="R178" i="13"/>
  <c r="Y177" i="13"/>
  <c r="AA23" i="28" s="1"/>
  <c r="AG225" i="13"/>
  <c r="I232" i="13"/>
  <c r="M254" i="13"/>
  <c r="O200" i="13"/>
  <c r="S197" i="13"/>
  <c r="AS198" i="13"/>
  <c r="I231" i="13"/>
  <c r="M253" i="13"/>
  <c r="O196" i="13"/>
  <c r="S189" i="13"/>
  <c r="AN198" i="13"/>
  <c r="F195" i="13"/>
  <c r="AS239" i="13"/>
  <c r="AO238" i="13"/>
  <c r="I245" i="13"/>
  <c r="O209" i="13"/>
  <c r="BB226" i="13"/>
  <c r="F267" i="13"/>
  <c r="I180" i="13"/>
  <c r="O26" i="28" s="1"/>
  <c r="M239" i="13"/>
  <c r="P237" i="13"/>
  <c r="S188" i="13"/>
  <c r="I252" i="13"/>
  <c r="Y225" i="13"/>
  <c r="L219" i="13"/>
  <c r="R184" i="13"/>
  <c r="AA177" i="13"/>
  <c r="AC23" i="28" s="1"/>
  <c r="F260" i="13"/>
  <c r="I179" i="13"/>
  <c r="O25" i="28" s="1"/>
  <c r="M232" i="13"/>
  <c r="P223" i="13"/>
  <c r="T236" i="13"/>
  <c r="BH266" i="13"/>
  <c r="F259" i="13"/>
  <c r="I175" i="13"/>
  <c r="O21" i="28" s="1"/>
  <c r="M173" i="13"/>
  <c r="R19" i="28" s="1"/>
  <c r="P215" i="13"/>
  <c r="T224" i="13"/>
  <c r="BC265" i="13"/>
  <c r="R264" i="13"/>
  <c r="F255" i="13"/>
  <c r="I173" i="13"/>
  <c r="O19" i="28" s="1"/>
  <c r="N268" i="13"/>
  <c r="Q252" i="13"/>
  <c r="T218" i="13"/>
  <c r="BA265" i="13"/>
  <c r="F258" i="13"/>
  <c r="F232" i="13"/>
  <c r="F206" i="13"/>
  <c r="F180" i="13"/>
  <c r="N26" i="28" s="1"/>
  <c r="I256" i="13"/>
  <c r="I230" i="13"/>
  <c r="I204" i="13"/>
  <c r="I178" i="13"/>
  <c r="O24" i="28" s="1"/>
  <c r="K252" i="13"/>
  <c r="K225" i="13"/>
  <c r="K199" i="13"/>
  <c r="K173" i="13"/>
  <c r="P19" i="28" s="1"/>
  <c r="L245" i="13"/>
  <c r="L216" i="13"/>
  <c r="L187" i="13"/>
  <c r="Q33" i="28" s="1"/>
  <c r="M259" i="13"/>
  <c r="M229" i="13"/>
  <c r="M201" i="13"/>
  <c r="M172" i="13"/>
  <c r="R18"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20" i="28" s="1"/>
  <c r="AZ269" i="13"/>
  <c r="BD267" i="13"/>
  <c r="AN265" i="13"/>
  <c r="BI261" i="13"/>
  <c r="BL258" i="13"/>
  <c r="AK255" i="13"/>
  <c r="AT252" i="13"/>
  <c r="AQ249" i="13"/>
  <c r="BE245" i="13"/>
  <c r="BN242" i="13"/>
  <c r="AY238" i="13"/>
  <c r="BE234" i="13"/>
  <c r="BH230" i="13"/>
  <c r="BO224" i="13"/>
  <c r="BL218" i="13"/>
  <c r="AM207" i="13"/>
  <c r="BM192" i="13"/>
  <c r="AH171" i="13"/>
  <c r="AF17" i="28" s="1"/>
  <c r="F257" i="13"/>
  <c r="F231" i="13"/>
  <c r="F205" i="13"/>
  <c r="F178" i="13"/>
  <c r="N24" i="28" s="1"/>
  <c r="I255" i="13"/>
  <c r="I229" i="13"/>
  <c r="I203" i="13"/>
  <c r="I177" i="13"/>
  <c r="O23" i="28" s="1"/>
  <c r="K251" i="13"/>
  <c r="K224" i="13"/>
  <c r="K198" i="13"/>
  <c r="K172" i="13"/>
  <c r="P18" i="28" s="1"/>
  <c r="L244" i="13"/>
  <c r="L214" i="13"/>
  <c r="L186" i="13"/>
  <c r="Q32"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7" i="28" s="1"/>
  <c r="K267" i="13"/>
  <c r="K241" i="13"/>
  <c r="K215" i="13"/>
  <c r="K188" i="13"/>
  <c r="P34" i="28" s="1"/>
  <c r="L233" i="13"/>
  <c r="L204" i="13"/>
  <c r="L175" i="13"/>
  <c r="Q21" i="28" s="1"/>
  <c r="M217" i="13"/>
  <c r="N231" i="13"/>
  <c r="S237" i="13"/>
  <c r="F246" i="13"/>
  <c r="F220" i="13"/>
  <c r="F194" i="13"/>
  <c r="I244" i="13"/>
  <c r="I218" i="13"/>
  <c r="I192" i="13"/>
  <c r="K266" i="13"/>
  <c r="K240" i="13"/>
  <c r="K213" i="13"/>
  <c r="K187" i="13"/>
  <c r="P33" i="28" s="1"/>
  <c r="L260" i="13"/>
  <c r="L232" i="13"/>
  <c r="L202" i="13"/>
  <c r="L174" i="13"/>
  <c r="Q20" i="28" s="1"/>
  <c r="M245" i="13"/>
  <c r="M216" i="13"/>
  <c r="M188" i="13"/>
  <c r="R34"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1" i="28" s="1"/>
  <c r="BF268" i="13"/>
  <c r="BF266" i="13"/>
  <c r="AH264" i="13"/>
  <c r="AV260" i="13"/>
  <c r="AW257" i="13"/>
  <c r="BN253" i="13"/>
  <c r="AG251" i="13"/>
  <c r="BM247" i="13"/>
  <c r="AU244" i="13"/>
  <c r="AQ241" i="13"/>
  <c r="BH236" i="13"/>
  <c r="BI232" i="13"/>
  <c r="AK229" i="13"/>
  <c r="AR222" i="13"/>
  <c r="BL214" i="13"/>
  <c r="AO202" i="13"/>
  <c r="AG184" i="13"/>
  <c r="AE30" i="28" s="1"/>
  <c r="L261" i="13"/>
  <c r="M247" i="13"/>
  <c r="M189" i="13"/>
  <c r="R35"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1" i="28" s="1"/>
  <c r="AM269" i="13"/>
  <c r="BG266" i="13"/>
  <c r="AR264" i="13"/>
  <c r="BA260" i="13"/>
  <c r="BJ257" i="13"/>
  <c r="BF254" i="13"/>
  <c r="AJ251" i="13"/>
  <c r="AI248" i="13"/>
  <c r="BC244" i="13"/>
  <c r="AT241" i="13"/>
  <c r="BB237" i="13"/>
  <c r="AR233" i="13"/>
  <c r="AO229" i="13"/>
  <c r="AW222" i="13"/>
  <c r="AQ215" i="13"/>
  <c r="AS205" i="13"/>
  <c r="AJ185" i="13"/>
  <c r="AH31" i="28" s="1"/>
  <c r="F245" i="13"/>
  <c r="F219" i="13"/>
  <c r="F193" i="13"/>
  <c r="I269" i="13"/>
  <c r="I243" i="13"/>
  <c r="I217" i="13"/>
  <c r="I191" i="13"/>
  <c r="K265" i="13"/>
  <c r="K239" i="13"/>
  <c r="K212" i="13"/>
  <c r="K186" i="13"/>
  <c r="P32" i="28" s="1"/>
  <c r="L259" i="13"/>
  <c r="L231" i="13"/>
  <c r="L201" i="13"/>
  <c r="L173" i="13"/>
  <c r="Q19" i="28" s="1"/>
  <c r="M244" i="13"/>
  <c r="M215" i="13"/>
  <c r="M187" i="13"/>
  <c r="R33"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1" i="28" s="1"/>
  <c r="BN170" i="13"/>
  <c r="BL16" i="28" s="1"/>
  <c r="BD268" i="13"/>
  <c r="AU266" i="13"/>
  <c r="AS263" i="13"/>
  <c r="AU260" i="13"/>
  <c r="AU257" i="13"/>
  <c r="BM253" i="13"/>
  <c r="BJ250" i="13"/>
  <c r="AK247" i="13"/>
  <c r="AL244" i="13"/>
  <c r="AO241" i="13"/>
  <c r="BG236" i="13"/>
  <c r="BH232" i="13"/>
  <c r="BH227" i="13"/>
  <c r="AM222" i="13"/>
  <c r="AY214" i="13"/>
  <c r="AM200" i="13"/>
  <c r="AJ171" i="13"/>
  <c r="AH17" i="28" s="1"/>
  <c r="AV171" i="13"/>
  <c r="AT17" i="28" s="1"/>
  <c r="BH171" i="13"/>
  <c r="BF17" i="28" s="1"/>
  <c r="AK172" i="13"/>
  <c r="AI18" i="28" s="1"/>
  <c r="AW172" i="13"/>
  <c r="AU18" i="28" s="1"/>
  <c r="BI172" i="13"/>
  <c r="BG18" i="28" s="1"/>
  <c r="AL173" i="13"/>
  <c r="AJ19" i="28" s="1"/>
  <c r="AX173" i="13"/>
  <c r="AV19" i="28" s="1"/>
  <c r="BJ173" i="13"/>
  <c r="BH19" i="28" s="1"/>
  <c r="AM174" i="13"/>
  <c r="AK20" i="28" s="1"/>
  <c r="AY174" i="13"/>
  <c r="AW20" i="28" s="1"/>
  <c r="BK174" i="13"/>
  <c r="BI20" i="28" s="1"/>
  <c r="AN175" i="13"/>
  <c r="AL21" i="28" s="1"/>
  <c r="AZ175" i="13"/>
  <c r="AX21" i="28" s="1"/>
  <c r="BL175" i="13"/>
  <c r="BJ21" i="28" s="1"/>
  <c r="AO176" i="13"/>
  <c r="AM22" i="28" s="1"/>
  <c r="BA176" i="13"/>
  <c r="AY22" i="28" s="1"/>
  <c r="BM176" i="13"/>
  <c r="BK22" i="28" s="1"/>
  <c r="AP177" i="13"/>
  <c r="AN23" i="28" s="1"/>
  <c r="BB177" i="13"/>
  <c r="AZ23" i="28" s="1"/>
  <c r="BN177" i="13"/>
  <c r="BL23" i="28" s="1"/>
  <c r="AQ178" i="13"/>
  <c r="AO24" i="28" s="1"/>
  <c r="BC178" i="13"/>
  <c r="BA24" i="28" s="1"/>
  <c r="BO178" i="13"/>
  <c r="BM24" i="28" s="1"/>
  <c r="AR179" i="13"/>
  <c r="AP25" i="28" s="1"/>
  <c r="BD179" i="13"/>
  <c r="BB25" i="28" s="1"/>
  <c r="AG180" i="13"/>
  <c r="AE26" i="28" s="1"/>
  <c r="AS180" i="13"/>
  <c r="AQ26" i="28" s="1"/>
  <c r="BE180" i="13"/>
  <c r="BC26" i="28" s="1"/>
  <c r="AH181" i="13"/>
  <c r="AF27" i="28" s="1"/>
  <c r="AT181" i="13"/>
  <c r="AR27" i="28" s="1"/>
  <c r="BF181" i="13"/>
  <c r="BD27" i="28" s="1"/>
  <c r="AI182" i="13"/>
  <c r="AG28" i="28" s="1"/>
  <c r="AU182" i="13"/>
  <c r="AS28" i="28" s="1"/>
  <c r="BG182" i="13"/>
  <c r="BE28" i="28" s="1"/>
  <c r="AJ183" i="13"/>
  <c r="AH29" i="28" s="1"/>
  <c r="AV183" i="13"/>
  <c r="AT29" i="28" s="1"/>
  <c r="BH183" i="13"/>
  <c r="BF29" i="28" s="1"/>
  <c r="AK184" i="13"/>
  <c r="AI30" i="28" s="1"/>
  <c r="AW184" i="13"/>
  <c r="AU30" i="28" s="1"/>
  <c r="BI184" i="13"/>
  <c r="BG30" i="28" s="1"/>
  <c r="AL185" i="13"/>
  <c r="AJ31" i="28" s="1"/>
  <c r="AX185" i="13"/>
  <c r="AV31" i="28" s="1"/>
  <c r="BJ185" i="13"/>
  <c r="BH31" i="28" s="1"/>
  <c r="AM186" i="13"/>
  <c r="AK32" i="28" s="1"/>
  <c r="AY186" i="13"/>
  <c r="AW32" i="28" s="1"/>
  <c r="BK186" i="13"/>
  <c r="BI32" i="28" s="1"/>
  <c r="AN187" i="13"/>
  <c r="AL33" i="28" s="1"/>
  <c r="AZ187" i="13"/>
  <c r="AX33" i="28" s="1"/>
  <c r="BL187" i="13"/>
  <c r="BJ33" i="28" s="1"/>
  <c r="AO188" i="13"/>
  <c r="AM34" i="28" s="1"/>
  <c r="BA188" i="13"/>
  <c r="AY34" i="28" s="1"/>
  <c r="BM188" i="13"/>
  <c r="BK34" i="28" s="1"/>
  <c r="AP189" i="13"/>
  <c r="AN35" i="28" s="1"/>
  <c r="BB189" i="13"/>
  <c r="AZ35" i="28" s="1"/>
  <c r="BN189" i="13"/>
  <c r="BL35"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7" i="28" s="1"/>
  <c r="AW171" i="13"/>
  <c r="AU17" i="28" s="1"/>
  <c r="BI171" i="13"/>
  <c r="BG17" i="28" s="1"/>
  <c r="AL172" i="13"/>
  <c r="AJ18" i="28" s="1"/>
  <c r="AX172" i="13"/>
  <c r="AV18" i="28" s="1"/>
  <c r="BJ172" i="13"/>
  <c r="BH18" i="28" s="1"/>
  <c r="AM173" i="13"/>
  <c r="AK19" i="28" s="1"/>
  <c r="AY173" i="13"/>
  <c r="AW19" i="28" s="1"/>
  <c r="BK173" i="13"/>
  <c r="BI19" i="28" s="1"/>
  <c r="AN174" i="13"/>
  <c r="AL20" i="28" s="1"/>
  <c r="AZ174" i="13"/>
  <c r="AX20" i="28" s="1"/>
  <c r="BL174" i="13"/>
  <c r="BJ20" i="28" s="1"/>
  <c r="AO175" i="13"/>
  <c r="AM21" i="28" s="1"/>
  <c r="BA175" i="13"/>
  <c r="AY21" i="28" s="1"/>
  <c r="BM175" i="13"/>
  <c r="BK21" i="28" s="1"/>
  <c r="AP176" i="13"/>
  <c r="AN22" i="28" s="1"/>
  <c r="BB176" i="13"/>
  <c r="AZ22" i="28" s="1"/>
  <c r="BN176" i="13"/>
  <c r="BL22" i="28" s="1"/>
  <c r="AQ177" i="13"/>
  <c r="AO23" i="28" s="1"/>
  <c r="BC177" i="13"/>
  <c r="BA23" i="28" s="1"/>
  <c r="BO177" i="13"/>
  <c r="BM23" i="28" s="1"/>
  <c r="AR178" i="13"/>
  <c r="AP24" i="28" s="1"/>
  <c r="BD178" i="13"/>
  <c r="BB24" i="28" s="1"/>
  <c r="AG179" i="13"/>
  <c r="AE25" i="28" s="1"/>
  <c r="AS179" i="13"/>
  <c r="AQ25" i="28" s="1"/>
  <c r="BE179" i="13"/>
  <c r="BC25" i="28" s="1"/>
  <c r="AH180" i="13"/>
  <c r="AF26" i="28" s="1"/>
  <c r="AT180" i="13"/>
  <c r="AR26" i="28" s="1"/>
  <c r="BF180" i="13"/>
  <c r="BD26" i="28" s="1"/>
  <c r="AI181" i="13"/>
  <c r="AG27" i="28" s="1"/>
  <c r="AU181" i="13"/>
  <c r="AS27" i="28" s="1"/>
  <c r="BG181" i="13"/>
  <c r="BE27" i="28" s="1"/>
  <c r="AJ182" i="13"/>
  <c r="AH28" i="28" s="1"/>
  <c r="AV182" i="13"/>
  <c r="AT28" i="28" s="1"/>
  <c r="BH182" i="13"/>
  <c r="BF28" i="28" s="1"/>
  <c r="AK183" i="13"/>
  <c r="AI29" i="28" s="1"/>
  <c r="AW183" i="13"/>
  <c r="AU29" i="28" s="1"/>
  <c r="BI183" i="13"/>
  <c r="BG29" i="28" s="1"/>
  <c r="AL184" i="13"/>
  <c r="AJ30" i="28" s="1"/>
  <c r="AX184" i="13"/>
  <c r="AV30" i="28" s="1"/>
  <c r="BJ184" i="13"/>
  <c r="BH30" i="28" s="1"/>
  <c r="AM185" i="13"/>
  <c r="AK31" i="28" s="1"/>
  <c r="AY185" i="13"/>
  <c r="AW31" i="28" s="1"/>
  <c r="BK185" i="13"/>
  <c r="BI31" i="28" s="1"/>
  <c r="AN186" i="13"/>
  <c r="AL32" i="28" s="1"/>
  <c r="AZ186" i="13"/>
  <c r="AX32" i="28" s="1"/>
  <c r="BL186" i="13"/>
  <c r="BJ32" i="28" s="1"/>
  <c r="AO187" i="13"/>
  <c r="AM33" i="28" s="1"/>
  <c r="BA187" i="13"/>
  <c r="AY33" i="28" s="1"/>
  <c r="BM187" i="13"/>
  <c r="BK33" i="28" s="1"/>
  <c r="AL171" i="13"/>
  <c r="AJ17" i="28" s="1"/>
  <c r="AX171" i="13"/>
  <c r="AV17" i="28" s="1"/>
  <c r="BJ171" i="13"/>
  <c r="BH17" i="28" s="1"/>
  <c r="AM172" i="13"/>
  <c r="AK18" i="28" s="1"/>
  <c r="AY172" i="13"/>
  <c r="AW18" i="28" s="1"/>
  <c r="BK172" i="13"/>
  <c r="BI18" i="28" s="1"/>
  <c r="AN173" i="13"/>
  <c r="AL19" i="28" s="1"/>
  <c r="AZ173" i="13"/>
  <c r="AX19" i="28" s="1"/>
  <c r="BL173" i="13"/>
  <c r="BJ19" i="28" s="1"/>
  <c r="AO174" i="13"/>
  <c r="AM20" i="28" s="1"/>
  <c r="BA174" i="13"/>
  <c r="AY20" i="28" s="1"/>
  <c r="BM174" i="13"/>
  <c r="BK20" i="28" s="1"/>
  <c r="AP175" i="13"/>
  <c r="AN21" i="28" s="1"/>
  <c r="BB175" i="13"/>
  <c r="AZ21" i="28" s="1"/>
  <c r="BN175" i="13"/>
  <c r="BL21" i="28" s="1"/>
  <c r="AQ176" i="13"/>
  <c r="AO22" i="28" s="1"/>
  <c r="BC176" i="13"/>
  <c r="BA22" i="28" s="1"/>
  <c r="BO176" i="13"/>
  <c r="BM22" i="28" s="1"/>
  <c r="AR177" i="13"/>
  <c r="AP23" i="28" s="1"/>
  <c r="BD177" i="13"/>
  <c r="BB23" i="28" s="1"/>
  <c r="AG178" i="13"/>
  <c r="AE24" i="28" s="1"/>
  <c r="AS178" i="13"/>
  <c r="AQ24" i="28" s="1"/>
  <c r="BE178" i="13"/>
  <c r="BC24" i="28" s="1"/>
  <c r="AH179" i="13"/>
  <c r="AF25" i="28" s="1"/>
  <c r="AT179" i="13"/>
  <c r="AR25" i="28" s="1"/>
  <c r="BF179" i="13"/>
  <c r="BD25" i="28" s="1"/>
  <c r="AI180" i="13"/>
  <c r="AG26" i="28" s="1"/>
  <c r="AU180" i="13"/>
  <c r="AS26" i="28" s="1"/>
  <c r="BG180" i="13"/>
  <c r="BE26" i="28" s="1"/>
  <c r="AJ181" i="13"/>
  <c r="AH27" i="28" s="1"/>
  <c r="AV181" i="13"/>
  <c r="AT27" i="28" s="1"/>
  <c r="BH181" i="13"/>
  <c r="BF27" i="28" s="1"/>
  <c r="AK182" i="13"/>
  <c r="AI28" i="28" s="1"/>
  <c r="AW182" i="13"/>
  <c r="AU28" i="28" s="1"/>
  <c r="BI182" i="13"/>
  <c r="BG28" i="28" s="1"/>
  <c r="AL183" i="13"/>
  <c r="AJ29" i="28" s="1"/>
  <c r="AX183" i="13"/>
  <c r="AV29" i="28" s="1"/>
  <c r="BJ183" i="13"/>
  <c r="BH29" i="28" s="1"/>
  <c r="AM184" i="13"/>
  <c r="AK30" i="28" s="1"/>
  <c r="AY184" i="13"/>
  <c r="AW30" i="28" s="1"/>
  <c r="BK184" i="13"/>
  <c r="BI30" i="28" s="1"/>
  <c r="AN185" i="13"/>
  <c r="AL31" i="28" s="1"/>
  <c r="AZ185" i="13"/>
  <c r="AX31" i="28" s="1"/>
  <c r="BL185" i="13"/>
  <c r="BJ31" i="28" s="1"/>
  <c r="AO186" i="13"/>
  <c r="AM32" i="28" s="1"/>
  <c r="BA186" i="13"/>
  <c r="AY32" i="28" s="1"/>
  <c r="BM186" i="13"/>
  <c r="BK32" i="28" s="1"/>
  <c r="AP187" i="13"/>
  <c r="AN33" i="28" s="1"/>
  <c r="BB187" i="13"/>
  <c r="AZ33" i="28" s="1"/>
  <c r="BN187" i="13"/>
  <c r="BL33" i="28" s="1"/>
  <c r="AM171" i="13"/>
  <c r="AK17" i="28" s="1"/>
  <c r="AY171" i="13"/>
  <c r="AW17" i="28" s="1"/>
  <c r="BK171" i="13"/>
  <c r="BI17" i="28" s="1"/>
  <c r="AN172" i="13"/>
  <c r="AL18" i="28" s="1"/>
  <c r="AZ172" i="13"/>
  <c r="AX18" i="28" s="1"/>
  <c r="BL172" i="13"/>
  <c r="BJ18" i="28" s="1"/>
  <c r="AO173" i="13"/>
  <c r="AM19" i="28" s="1"/>
  <c r="BA173" i="13"/>
  <c r="AY19" i="28" s="1"/>
  <c r="BM173" i="13"/>
  <c r="BK19" i="28" s="1"/>
  <c r="AP174" i="13"/>
  <c r="AN20" i="28" s="1"/>
  <c r="BB174" i="13"/>
  <c r="AZ20" i="28" s="1"/>
  <c r="BN174" i="13"/>
  <c r="BL20" i="28" s="1"/>
  <c r="AQ175" i="13"/>
  <c r="AO21" i="28" s="1"/>
  <c r="BC175" i="13"/>
  <c r="BA21" i="28" s="1"/>
  <c r="BO175" i="13"/>
  <c r="BM21" i="28" s="1"/>
  <c r="AR176" i="13"/>
  <c r="AP22" i="28" s="1"/>
  <c r="BD176" i="13"/>
  <c r="BB22" i="28" s="1"/>
  <c r="AG177" i="13"/>
  <c r="AE23" i="28" s="1"/>
  <c r="AS177" i="13"/>
  <c r="AQ23" i="28" s="1"/>
  <c r="BE177" i="13"/>
  <c r="BC23" i="28" s="1"/>
  <c r="AH178" i="13"/>
  <c r="AF24" i="28" s="1"/>
  <c r="AT178" i="13"/>
  <c r="AR24" i="28" s="1"/>
  <c r="BF178" i="13"/>
  <c r="BD24" i="28" s="1"/>
  <c r="AI179" i="13"/>
  <c r="AG25" i="28" s="1"/>
  <c r="AU179" i="13"/>
  <c r="AS25" i="28" s="1"/>
  <c r="BG179" i="13"/>
  <c r="BE25" i="28" s="1"/>
  <c r="AJ180" i="13"/>
  <c r="AH26" i="28" s="1"/>
  <c r="AV180" i="13"/>
  <c r="AT26" i="28" s="1"/>
  <c r="BH180" i="13"/>
  <c r="BF26" i="28" s="1"/>
  <c r="AK181" i="13"/>
  <c r="AI27" i="28" s="1"/>
  <c r="AW181" i="13"/>
  <c r="AU27" i="28" s="1"/>
  <c r="BI181" i="13"/>
  <c r="BG27" i="28" s="1"/>
  <c r="AL182" i="13"/>
  <c r="AJ28" i="28" s="1"/>
  <c r="AX182" i="13"/>
  <c r="AV28" i="28" s="1"/>
  <c r="BJ182" i="13"/>
  <c r="BH28" i="28" s="1"/>
  <c r="AM183" i="13"/>
  <c r="AK29" i="28" s="1"/>
  <c r="AY183" i="13"/>
  <c r="AW29" i="28" s="1"/>
  <c r="BK183" i="13"/>
  <c r="BI29" i="28" s="1"/>
  <c r="AN184" i="13"/>
  <c r="AL30" i="28" s="1"/>
  <c r="AZ184" i="13"/>
  <c r="AX30" i="28" s="1"/>
  <c r="BL184" i="13"/>
  <c r="BJ30" i="28" s="1"/>
  <c r="AO185" i="13"/>
  <c r="AM31" i="28" s="1"/>
  <c r="BA185" i="13"/>
  <c r="AY31" i="28" s="1"/>
  <c r="BM185" i="13"/>
  <c r="BK31" i="28" s="1"/>
  <c r="AP186" i="13"/>
  <c r="AN32" i="28" s="1"/>
  <c r="BB186" i="13"/>
  <c r="AZ32" i="28" s="1"/>
  <c r="BN186" i="13"/>
  <c r="BL32" i="28" s="1"/>
  <c r="AQ187" i="13"/>
  <c r="AO33" i="28" s="1"/>
  <c r="BC187" i="13"/>
  <c r="BA33" i="28" s="1"/>
  <c r="BO187" i="13"/>
  <c r="BM33" i="28" s="1"/>
  <c r="AR188" i="13"/>
  <c r="AP34" i="28" s="1"/>
  <c r="BD188" i="13"/>
  <c r="BB34" i="28" s="1"/>
  <c r="AG189" i="13"/>
  <c r="AE35" i="28" s="1"/>
  <c r="AS189" i="13"/>
  <c r="AQ35" i="28" s="1"/>
  <c r="BE189" i="13"/>
  <c r="BC35"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7" i="28" s="1"/>
  <c r="BC171" i="13"/>
  <c r="BA17" i="28" s="1"/>
  <c r="BO171" i="13"/>
  <c r="BM17" i="28" s="1"/>
  <c r="AR172" i="13"/>
  <c r="AP18" i="28" s="1"/>
  <c r="BD172" i="13"/>
  <c r="BB18" i="28" s="1"/>
  <c r="AG173" i="13"/>
  <c r="AE19" i="28" s="1"/>
  <c r="AS173" i="13"/>
  <c r="AQ19" i="28" s="1"/>
  <c r="BE173" i="13"/>
  <c r="BC19" i="28" s="1"/>
  <c r="AH174" i="13"/>
  <c r="AF20" i="28" s="1"/>
  <c r="AT174" i="13"/>
  <c r="AR20" i="28" s="1"/>
  <c r="BF174" i="13"/>
  <c r="BD20" i="28" s="1"/>
  <c r="AI175" i="13"/>
  <c r="AG21" i="28" s="1"/>
  <c r="AU175" i="13"/>
  <c r="AS21" i="28" s="1"/>
  <c r="BG175" i="13"/>
  <c r="BE21" i="28" s="1"/>
  <c r="AJ176" i="13"/>
  <c r="AH22" i="28" s="1"/>
  <c r="AV176" i="13"/>
  <c r="AT22" i="28" s="1"/>
  <c r="BH176" i="13"/>
  <c r="BF22" i="28" s="1"/>
  <c r="AK177" i="13"/>
  <c r="AI23" i="28" s="1"/>
  <c r="AW177" i="13"/>
  <c r="AU23" i="28" s="1"/>
  <c r="BI177" i="13"/>
  <c r="BG23" i="28" s="1"/>
  <c r="AL178" i="13"/>
  <c r="AJ24" i="28" s="1"/>
  <c r="AX178" i="13"/>
  <c r="AV24" i="28" s="1"/>
  <c r="BJ178" i="13"/>
  <c r="BH24" i="28" s="1"/>
  <c r="AM179" i="13"/>
  <c r="AK25" i="28" s="1"/>
  <c r="AY179" i="13"/>
  <c r="AW25" i="28" s="1"/>
  <c r="BK179" i="13"/>
  <c r="BI25" i="28" s="1"/>
  <c r="AN180" i="13"/>
  <c r="AL26" i="28" s="1"/>
  <c r="AZ180" i="13"/>
  <c r="AX26" i="28" s="1"/>
  <c r="BL180" i="13"/>
  <c r="BJ26" i="28" s="1"/>
  <c r="AO181" i="13"/>
  <c r="AM27" i="28" s="1"/>
  <c r="BA181" i="13"/>
  <c r="AY27" i="28" s="1"/>
  <c r="BM181" i="13"/>
  <c r="BK27" i="28" s="1"/>
  <c r="AP182" i="13"/>
  <c r="AN28" i="28" s="1"/>
  <c r="BB182" i="13"/>
  <c r="AZ28" i="28" s="1"/>
  <c r="BN182" i="13"/>
  <c r="BL28" i="28" s="1"/>
  <c r="AQ183" i="13"/>
  <c r="AO29" i="28" s="1"/>
  <c r="BC183" i="13"/>
  <c r="BA29" i="28" s="1"/>
  <c r="BO183" i="13"/>
  <c r="BM29" i="28" s="1"/>
  <c r="AR184" i="13"/>
  <c r="AP30" i="28" s="1"/>
  <c r="BD184" i="13"/>
  <c r="BB30" i="28" s="1"/>
  <c r="AG185" i="13"/>
  <c r="AE31" i="28" s="1"/>
  <c r="AS185" i="13"/>
  <c r="AQ31" i="28" s="1"/>
  <c r="BE185" i="13"/>
  <c r="BC31" i="28" s="1"/>
  <c r="AH186" i="13"/>
  <c r="AF32" i="28" s="1"/>
  <c r="AT186" i="13"/>
  <c r="AR32" i="28" s="1"/>
  <c r="BF186" i="13"/>
  <c r="BD32" i="28" s="1"/>
  <c r="AI187" i="13"/>
  <c r="AG33" i="28" s="1"/>
  <c r="AU187" i="13"/>
  <c r="AS33" i="28" s="1"/>
  <c r="BG187" i="13"/>
  <c r="BE33" i="28" s="1"/>
  <c r="AO171" i="13"/>
  <c r="AM17" i="28" s="1"/>
  <c r="BG171" i="13"/>
  <c r="BE17" i="28" s="1"/>
  <c r="AT172" i="13"/>
  <c r="AR18" i="28" s="1"/>
  <c r="BO172" i="13"/>
  <c r="BM18" i="28" s="1"/>
  <c r="BB173" i="13"/>
  <c r="AZ19" i="28" s="1"/>
  <c r="AK174" i="13"/>
  <c r="AI20" i="28" s="1"/>
  <c r="BG174" i="13"/>
  <c r="BE20" i="28" s="1"/>
  <c r="AS175" i="13"/>
  <c r="AQ21" i="28" s="1"/>
  <c r="BK175" i="13"/>
  <c r="BI21" i="28" s="1"/>
  <c r="AX176" i="13"/>
  <c r="AV22" i="28" s="1"/>
  <c r="AJ177" i="13"/>
  <c r="AH23" i="28" s="1"/>
  <c r="BF177" i="13"/>
  <c r="BD23" i="28" s="1"/>
  <c r="AO178" i="13"/>
  <c r="AM24" i="28" s="1"/>
  <c r="BK178" i="13"/>
  <c r="BI24" i="28" s="1"/>
  <c r="AW179" i="13"/>
  <c r="AU25" i="28" s="1"/>
  <c r="BO179" i="13"/>
  <c r="BM25" i="28" s="1"/>
  <c r="BB180" i="13"/>
  <c r="AZ26" i="28" s="1"/>
  <c r="AN181" i="13"/>
  <c r="AL27" i="28" s="1"/>
  <c r="BJ181" i="13"/>
  <c r="BH27" i="28" s="1"/>
  <c r="AS182" i="13"/>
  <c r="AQ28" i="28" s="1"/>
  <c r="BO182" i="13"/>
  <c r="BM28" i="28" s="1"/>
  <c r="BA183" i="13"/>
  <c r="AY29" i="28" s="1"/>
  <c r="AJ184" i="13"/>
  <c r="AH30" i="28" s="1"/>
  <c r="BF184" i="13"/>
  <c r="BD30" i="28" s="1"/>
  <c r="AR185" i="13"/>
  <c r="AP31" i="28" s="1"/>
  <c r="BN185" i="13"/>
  <c r="BL31" i="28" s="1"/>
  <c r="AW186" i="13"/>
  <c r="AU32" i="28" s="1"/>
  <c r="AJ187" i="13"/>
  <c r="AH33" i="28" s="1"/>
  <c r="BE187" i="13"/>
  <c r="BC33" i="28" s="1"/>
  <c r="AM188" i="13"/>
  <c r="AK34" i="28" s="1"/>
  <c r="BB188" i="13"/>
  <c r="AZ34" i="28" s="1"/>
  <c r="AH189" i="13"/>
  <c r="AF35" i="28" s="1"/>
  <c r="AV189" i="13"/>
  <c r="AT35" i="28" s="1"/>
  <c r="BJ189" i="13"/>
  <c r="BH35"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7" i="28" s="1"/>
  <c r="BL171" i="13"/>
  <c r="BJ17" i="28" s="1"/>
  <c r="AU172" i="13"/>
  <c r="AS18" i="28" s="1"/>
  <c r="AH173" i="13"/>
  <c r="AF19" i="28" s="1"/>
  <c r="BC173" i="13"/>
  <c r="BA19" i="28" s="1"/>
  <c r="AL174" i="13"/>
  <c r="AJ20" i="28" s="1"/>
  <c r="BH174" i="13"/>
  <c r="BF20" i="28" s="1"/>
  <c r="AT175" i="13"/>
  <c r="AR21" i="28" s="1"/>
  <c r="AG176" i="13"/>
  <c r="AE22" i="28" s="1"/>
  <c r="AY176" i="13"/>
  <c r="AW22" i="28" s="1"/>
  <c r="AL177" i="13"/>
  <c r="AJ23" i="28" s="1"/>
  <c r="BG177" i="13"/>
  <c r="BE23" i="28" s="1"/>
  <c r="AP178" i="13"/>
  <c r="AN24" i="28" s="1"/>
  <c r="BL178" i="13"/>
  <c r="BJ24" i="28" s="1"/>
  <c r="AX179" i="13"/>
  <c r="AV25" i="28" s="1"/>
  <c r="AK180" i="13"/>
  <c r="AI26" i="28" s="1"/>
  <c r="BC180" i="13"/>
  <c r="BA26" i="28" s="1"/>
  <c r="AP181" i="13"/>
  <c r="AN27" i="28" s="1"/>
  <c r="BK181" i="13"/>
  <c r="BI27" i="28" s="1"/>
  <c r="AT182" i="13"/>
  <c r="AR28" i="28" s="1"/>
  <c r="AG183" i="13"/>
  <c r="AE29" i="28" s="1"/>
  <c r="BB183" i="13"/>
  <c r="AZ29" i="28" s="1"/>
  <c r="AO184" i="13"/>
  <c r="AM30" i="28" s="1"/>
  <c r="BG184" i="13"/>
  <c r="BE30" i="28" s="1"/>
  <c r="AT185" i="13"/>
  <c r="AR31" i="28" s="1"/>
  <c r="BO185" i="13"/>
  <c r="BM31" i="28" s="1"/>
  <c r="AX186" i="13"/>
  <c r="AV32" i="28" s="1"/>
  <c r="AK187" i="13"/>
  <c r="AI33" i="28" s="1"/>
  <c r="BF187" i="13"/>
  <c r="BD33" i="28" s="1"/>
  <c r="AN188" i="13"/>
  <c r="AL34" i="28" s="1"/>
  <c r="BC188" i="13"/>
  <c r="BA34" i="28" s="1"/>
  <c r="AI189" i="13"/>
  <c r="AG35" i="28" s="1"/>
  <c r="AW189" i="13"/>
  <c r="AU35" i="28" s="1"/>
  <c r="BK189" i="13"/>
  <c r="BI35"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7" i="28" s="1"/>
  <c r="BM171" i="13"/>
  <c r="BK17" i="28" s="1"/>
  <c r="AV172" i="13"/>
  <c r="AT18" i="28" s="1"/>
  <c r="AI173" i="13"/>
  <c r="AG19" i="28" s="1"/>
  <c r="BD173" i="13"/>
  <c r="BB19" i="28" s="1"/>
  <c r="AQ174" i="13"/>
  <c r="AO20" i="28" s="1"/>
  <c r="BI174" i="13"/>
  <c r="BG20" i="28" s="1"/>
  <c r="AV175" i="13"/>
  <c r="AT21" i="28" s="1"/>
  <c r="AH176" i="13"/>
  <c r="AF22" i="28" s="1"/>
  <c r="AZ176" i="13"/>
  <c r="AX22" i="28" s="1"/>
  <c r="AM177" i="13"/>
  <c r="AK23" i="28" s="1"/>
  <c r="BH177" i="13"/>
  <c r="BF23" i="28" s="1"/>
  <c r="AU178" i="13"/>
  <c r="AS24" i="28" s="1"/>
  <c r="BM178" i="13"/>
  <c r="BK24" i="28" s="1"/>
  <c r="AZ179" i="13"/>
  <c r="AX25" i="28" s="1"/>
  <c r="AL180" i="13"/>
  <c r="AJ26" i="28" s="1"/>
  <c r="BD180" i="13"/>
  <c r="BB26" i="28" s="1"/>
  <c r="AQ181" i="13"/>
  <c r="AO27" i="28" s="1"/>
  <c r="BL181" i="13"/>
  <c r="BJ27" i="28" s="1"/>
  <c r="AY182" i="13"/>
  <c r="AW28" i="28" s="1"/>
  <c r="AH183" i="13"/>
  <c r="AF29" i="28" s="1"/>
  <c r="BD183" i="13"/>
  <c r="BB29" i="28" s="1"/>
  <c r="AP184" i="13"/>
  <c r="AN30" i="28" s="1"/>
  <c r="BH184" i="13"/>
  <c r="BF30" i="28" s="1"/>
  <c r="AU185" i="13"/>
  <c r="AS31" i="28" s="1"/>
  <c r="AG186" i="13"/>
  <c r="AE32" i="28" s="1"/>
  <c r="BC186" i="13"/>
  <c r="BA32" i="28" s="1"/>
  <c r="AL187" i="13"/>
  <c r="AJ33" i="28" s="1"/>
  <c r="BH187" i="13"/>
  <c r="BF33" i="28" s="1"/>
  <c r="AP188" i="13"/>
  <c r="AN34" i="28" s="1"/>
  <c r="BE188" i="13"/>
  <c r="BC34" i="28" s="1"/>
  <c r="AJ189" i="13"/>
  <c r="AH35" i="28" s="1"/>
  <c r="AX189" i="13"/>
  <c r="AV35" i="28" s="1"/>
  <c r="BL189" i="13"/>
  <c r="BJ35"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7" i="28" s="1"/>
  <c r="AJ172" i="13"/>
  <c r="AH18" i="28" s="1"/>
  <c r="BF172" i="13"/>
  <c r="BD18" i="28" s="1"/>
  <c r="AR173" i="13"/>
  <c r="AP19" i="28" s="1"/>
  <c r="BN173" i="13"/>
  <c r="BL19" i="28" s="1"/>
  <c r="AW174" i="13"/>
  <c r="AU20" i="28" s="1"/>
  <c r="AJ175" i="13"/>
  <c r="AH21" i="28" s="1"/>
  <c r="BE175" i="13"/>
  <c r="BC21" i="28" s="1"/>
  <c r="AN176" i="13"/>
  <c r="AL22" i="28" s="1"/>
  <c r="BJ176" i="13"/>
  <c r="BH22" i="28" s="1"/>
  <c r="AV177" i="13"/>
  <c r="AT23" i="28" s="1"/>
  <c r="AI178" i="13"/>
  <c r="AG24" i="28" s="1"/>
  <c r="BA178" i="13"/>
  <c r="AY24" i="28" s="1"/>
  <c r="AN179" i="13"/>
  <c r="AL25" i="28" s="1"/>
  <c r="BI179" i="13"/>
  <c r="BG25" i="28" s="1"/>
  <c r="AR180" i="13"/>
  <c r="AP26" i="28" s="1"/>
  <c r="BN180" i="13"/>
  <c r="BL26" i="28" s="1"/>
  <c r="AZ181" i="13"/>
  <c r="AX27" i="28" s="1"/>
  <c r="AM182" i="13"/>
  <c r="AK28" i="28" s="1"/>
  <c r="BE182" i="13"/>
  <c r="BC28" i="28" s="1"/>
  <c r="AR183" i="13"/>
  <c r="AP29" i="28" s="1"/>
  <c r="BM183" i="13"/>
  <c r="BK29" i="28" s="1"/>
  <c r="AV184" i="13"/>
  <c r="AT30" i="28" s="1"/>
  <c r="AI185" i="13"/>
  <c r="AG31" i="28" s="1"/>
  <c r="BD185" i="13"/>
  <c r="BB31" i="28" s="1"/>
  <c r="AQ186" i="13"/>
  <c r="AO32" i="28" s="1"/>
  <c r="BI186" i="13"/>
  <c r="BG32" i="28" s="1"/>
  <c r="AV187" i="13"/>
  <c r="AT33" i="28" s="1"/>
  <c r="AH188" i="13"/>
  <c r="AF34" i="28" s="1"/>
  <c r="AV188" i="13"/>
  <c r="AT34" i="28" s="1"/>
  <c r="BJ188" i="13"/>
  <c r="BH34" i="28" s="1"/>
  <c r="AO189" i="13"/>
  <c r="AM35" i="28" s="1"/>
  <c r="BD189" i="13"/>
  <c r="BB35"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7" i="28" s="1"/>
  <c r="AO172" i="13"/>
  <c r="AM18" i="28" s="1"/>
  <c r="AJ173" i="13"/>
  <c r="AH19" i="28" s="1"/>
  <c r="BO173" i="13"/>
  <c r="BM19" i="28" s="1"/>
  <c r="BJ174" i="13"/>
  <c r="BH20" i="28" s="1"/>
  <c r="BF175" i="13"/>
  <c r="BD21" i="28" s="1"/>
  <c r="BE176" i="13"/>
  <c r="BC22" i="28" s="1"/>
  <c r="AX177" i="13"/>
  <c r="AV23" i="28" s="1"/>
  <c r="AV178" i="13"/>
  <c r="AT24" i="28" s="1"/>
  <c r="AO179" i="13"/>
  <c r="AM25" i="28" s="1"/>
  <c r="AM180" i="13"/>
  <c r="AK26" i="28" s="1"/>
  <c r="BO180" i="13"/>
  <c r="BM26" i="28" s="1"/>
  <c r="BN181" i="13"/>
  <c r="BL27" i="28" s="1"/>
  <c r="BF182" i="13"/>
  <c r="BD28" i="28" s="1"/>
  <c r="BE183" i="13"/>
  <c r="BC29" i="28" s="1"/>
  <c r="BA184" i="13"/>
  <c r="AY30" i="28" s="1"/>
  <c r="AV185" i="13"/>
  <c r="AT31" i="28" s="1"/>
  <c r="AR186" i="13"/>
  <c r="AP32" i="28" s="1"/>
  <c r="AM187" i="13"/>
  <c r="AK33" i="28" s="1"/>
  <c r="AI188" i="13"/>
  <c r="AG34" i="28" s="1"/>
  <c r="BF188" i="13"/>
  <c r="BD34" i="28" s="1"/>
  <c r="AQ189" i="13"/>
  <c r="AO35" i="28" s="1"/>
  <c r="BM189" i="13"/>
  <c r="BK35"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7" i="28" s="1"/>
  <c r="AP172" i="13"/>
  <c r="AN18" i="28" s="1"/>
  <c r="AK173" i="13"/>
  <c r="AI19" i="28" s="1"/>
  <c r="AG174" i="13"/>
  <c r="AE20" i="28" s="1"/>
  <c r="BO174" i="13"/>
  <c r="BM20" i="28" s="1"/>
  <c r="BH175" i="13"/>
  <c r="BF21" i="28" s="1"/>
  <c r="BF176" i="13"/>
  <c r="BD22" i="28" s="1"/>
  <c r="AY177" i="13"/>
  <c r="AW23" i="28" s="1"/>
  <c r="AW178" i="13"/>
  <c r="AU24" i="28" s="1"/>
  <c r="AP179" i="13"/>
  <c r="AN25" i="28" s="1"/>
  <c r="AO180" i="13"/>
  <c r="AM26" i="28" s="1"/>
  <c r="AG181" i="13"/>
  <c r="AE27" i="28" s="1"/>
  <c r="BO181" i="13"/>
  <c r="BM27" i="28" s="1"/>
  <c r="BK182" i="13"/>
  <c r="BI28" i="28" s="1"/>
  <c r="BF183" i="13"/>
  <c r="BD29" i="28" s="1"/>
  <c r="BB184" i="13"/>
  <c r="AZ30" i="28" s="1"/>
  <c r="AW185" i="13"/>
  <c r="AU31" i="28" s="1"/>
  <c r="AS186" i="13"/>
  <c r="AQ32" i="28" s="1"/>
  <c r="AR187" i="13"/>
  <c r="AP33" i="28" s="1"/>
  <c r="AJ188" i="13"/>
  <c r="AH34" i="28" s="1"/>
  <c r="BG188" i="13"/>
  <c r="BE34" i="28" s="1"/>
  <c r="AR189" i="13"/>
  <c r="AP35" i="28" s="1"/>
  <c r="BO189" i="13"/>
  <c r="BM35"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7" i="28" s="1"/>
  <c r="AQ172" i="13"/>
  <c r="AO18" i="28" s="1"/>
  <c r="AP173" i="13"/>
  <c r="AN19" i="28" s="1"/>
  <c r="AI174" i="13"/>
  <c r="AG20" i="28" s="1"/>
  <c r="AG175" i="13"/>
  <c r="AE21" i="28" s="1"/>
  <c r="BI175" i="13"/>
  <c r="BG21" i="28" s="1"/>
  <c r="BG176" i="13"/>
  <c r="BE22" i="28" s="1"/>
  <c r="AZ177" i="13"/>
  <c r="AX23" i="28" s="1"/>
  <c r="AY178" i="13"/>
  <c r="AW24" i="28" s="1"/>
  <c r="AQ179" i="13"/>
  <c r="AO25" i="28" s="1"/>
  <c r="AP180" i="13"/>
  <c r="AN26" i="28" s="1"/>
  <c r="AL181" i="13"/>
  <c r="AJ27" i="28" s="1"/>
  <c r="AG182" i="13"/>
  <c r="AE28" i="28" s="1"/>
  <c r="BL182" i="13"/>
  <c r="BJ28" i="28" s="1"/>
  <c r="BG183" i="13"/>
  <c r="BE29" i="28" s="1"/>
  <c r="BC184" i="13"/>
  <c r="BA30" i="28" s="1"/>
  <c r="BB185" i="13"/>
  <c r="AZ31" i="28" s="1"/>
  <c r="AU186" i="13"/>
  <c r="AS32" i="28" s="1"/>
  <c r="AS187" i="13"/>
  <c r="AQ33" i="28" s="1"/>
  <c r="AK188" i="13"/>
  <c r="AI34" i="28" s="1"/>
  <c r="BH188" i="13"/>
  <c r="BF34" i="28" s="1"/>
  <c r="AT189" i="13"/>
  <c r="AR35"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7" i="28" s="1"/>
  <c r="AS172" i="13"/>
  <c r="AQ18" i="28" s="1"/>
  <c r="AQ173" i="13"/>
  <c r="AO19" i="28" s="1"/>
  <c r="AJ174" i="13"/>
  <c r="AH20" i="28" s="1"/>
  <c r="AH175" i="13"/>
  <c r="AF21" i="28" s="1"/>
  <c r="BJ175" i="13"/>
  <c r="BH21" i="28" s="1"/>
  <c r="BI176" i="13"/>
  <c r="BG22" i="28" s="1"/>
  <c r="BA177" i="13"/>
  <c r="AY23" i="28" s="1"/>
  <c r="AZ178" i="13"/>
  <c r="AX24" i="28" s="1"/>
  <c r="AV179" i="13"/>
  <c r="AT25" i="28" s="1"/>
  <c r="AQ180" i="13"/>
  <c r="AO26" i="28" s="1"/>
  <c r="AM181" i="13"/>
  <c r="AK27" i="28" s="1"/>
  <c r="AH182" i="13"/>
  <c r="AF28" i="28" s="1"/>
  <c r="BM182" i="13"/>
  <c r="BK28" i="28" s="1"/>
  <c r="BL183" i="13"/>
  <c r="BJ29" i="28" s="1"/>
  <c r="BE184" i="13"/>
  <c r="BC30" i="28" s="1"/>
  <c r="BC185" i="13"/>
  <c r="BA31" i="28" s="1"/>
  <c r="AV186" i="13"/>
  <c r="AT32" i="28" s="1"/>
  <c r="AT187" i="13"/>
  <c r="AR33" i="28" s="1"/>
  <c r="AL188" i="13"/>
  <c r="AJ34" i="28" s="1"/>
  <c r="BI188" i="13"/>
  <c r="BG34" i="28" s="1"/>
  <c r="AU189" i="13"/>
  <c r="AS35"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7" i="28" s="1"/>
  <c r="BG172" i="13"/>
  <c r="BE18" i="28" s="1"/>
  <c r="AR174" i="13"/>
  <c r="AP20" i="28" s="1"/>
  <c r="AW175" i="13"/>
  <c r="AU21" i="28" s="1"/>
  <c r="BK176" i="13"/>
  <c r="BI22" i="28" s="1"/>
  <c r="AJ178" i="13"/>
  <c r="AH24" i="28" s="1"/>
  <c r="BA179" i="13"/>
  <c r="AY25" i="28" s="1"/>
  <c r="BI180" i="13"/>
  <c r="BG26" i="28" s="1"/>
  <c r="AN182" i="13"/>
  <c r="AL28" i="28" s="1"/>
  <c r="AS183" i="13"/>
  <c r="AQ29" i="28" s="1"/>
  <c r="BM184" i="13"/>
  <c r="BK30" i="28" s="1"/>
  <c r="AI186" i="13"/>
  <c r="AG32" i="28" s="1"/>
  <c r="AW187" i="13"/>
  <c r="AU33" i="28" s="1"/>
  <c r="AW188" i="13"/>
  <c r="AU34" i="28" s="1"/>
  <c r="AY189" i="13"/>
  <c r="AW35"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7" i="28" s="1"/>
  <c r="BH172" i="13"/>
  <c r="BF18" i="28" s="1"/>
  <c r="AS174" i="13"/>
  <c r="AQ20" i="28" s="1"/>
  <c r="AX175" i="13"/>
  <c r="AV21" i="28" s="1"/>
  <c r="BL176" i="13"/>
  <c r="BJ22" i="28" s="1"/>
  <c r="AK178" i="13"/>
  <c r="AI24" i="28" s="1"/>
  <c r="BB179" i="13"/>
  <c r="AZ25" i="28" s="1"/>
  <c r="BJ180" i="13"/>
  <c r="BH26" i="28" s="1"/>
  <c r="AO182" i="13"/>
  <c r="AM28" i="28" s="1"/>
  <c r="AT183" i="13"/>
  <c r="AR29" i="28" s="1"/>
  <c r="BN184" i="13"/>
  <c r="BL30" i="28" s="1"/>
  <c r="AJ186" i="13"/>
  <c r="AH32" i="28" s="1"/>
  <c r="AX187" i="13"/>
  <c r="AV33" i="28" s="1"/>
  <c r="AX188" i="13"/>
  <c r="AV34" i="28" s="1"/>
  <c r="AZ189" i="13"/>
  <c r="AX35"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7" i="28" s="1"/>
  <c r="BM172" i="13"/>
  <c r="BK18" i="28" s="1"/>
  <c r="AU174" i="13"/>
  <c r="AS20" i="28" s="1"/>
  <c r="AY175" i="13"/>
  <c r="AW21" i="28" s="1"/>
  <c r="AH177" i="13"/>
  <c r="AF23" i="28" s="1"/>
  <c r="AM178" i="13"/>
  <c r="AK24" i="28" s="1"/>
  <c r="BC179" i="13"/>
  <c r="BA25" i="28" s="1"/>
  <c r="BK180" i="13"/>
  <c r="BI26" i="28" s="1"/>
  <c r="AQ182" i="13"/>
  <c r="AO28" i="28" s="1"/>
  <c r="AU183" i="13"/>
  <c r="AS29" i="28" s="1"/>
  <c r="BO184" i="13"/>
  <c r="BM30" i="28" s="1"/>
  <c r="AK186" i="13"/>
  <c r="AI32" i="28" s="1"/>
  <c r="AY187" i="13"/>
  <c r="AW33" i="28" s="1"/>
  <c r="AY188" i="13"/>
  <c r="AW34" i="28" s="1"/>
  <c r="BA189" i="13"/>
  <c r="AY35"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7" i="28" s="1"/>
  <c r="BN172" i="13"/>
  <c r="BL18" i="28" s="1"/>
  <c r="AV174" i="13"/>
  <c r="AT20" i="28" s="1"/>
  <c r="BD175" i="13"/>
  <c r="BB21" i="28" s="1"/>
  <c r="AI177" i="13"/>
  <c r="AG23" i="28" s="1"/>
  <c r="AN178" i="13"/>
  <c r="AL24" i="28" s="1"/>
  <c r="BH179" i="13"/>
  <c r="BF25" i="28" s="1"/>
  <c r="BM180" i="13"/>
  <c r="BK26" i="28" s="1"/>
  <c r="AR182" i="13"/>
  <c r="AP28" i="28" s="1"/>
  <c r="AZ183" i="13"/>
  <c r="AX29" i="28" s="1"/>
  <c r="AH185" i="13"/>
  <c r="AF31" i="28" s="1"/>
  <c r="AL186" i="13"/>
  <c r="AJ32" i="28" s="1"/>
  <c r="BD187" i="13"/>
  <c r="BB33" i="28" s="1"/>
  <c r="AZ188" i="13"/>
  <c r="AX34" i="28" s="1"/>
  <c r="BC189" i="13"/>
  <c r="BA35"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8" i="28" s="1"/>
  <c r="AW173" i="13"/>
  <c r="AU19" i="28" s="1"/>
  <c r="BE174" i="13"/>
  <c r="BC20" i="28" s="1"/>
  <c r="AM176" i="13"/>
  <c r="AK22" i="28" s="1"/>
  <c r="AU177" i="13"/>
  <c r="AS23" i="28" s="1"/>
  <c r="BI178" i="13"/>
  <c r="BG24" i="28" s="1"/>
  <c r="BN179" i="13"/>
  <c r="BL25" i="28" s="1"/>
  <c r="AY181" i="13"/>
  <c r="AW27" i="28" s="1"/>
  <c r="BD182" i="13"/>
  <c r="BB28" i="28" s="1"/>
  <c r="AI184" i="13"/>
  <c r="AG30" i="28" s="1"/>
  <c r="AQ185" i="13"/>
  <c r="AO31" i="28" s="1"/>
  <c r="BH186" i="13"/>
  <c r="BF32" i="28" s="1"/>
  <c r="AG188" i="13"/>
  <c r="AE34" i="28" s="1"/>
  <c r="BO188" i="13"/>
  <c r="BM34" i="28" s="1"/>
  <c r="BI189" i="13"/>
  <c r="BG35"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7" i="28" s="1"/>
  <c r="BH173" i="13"/>
  <c r="BF19" i="28" s="1"/>
  <c r="AS176" i="13"/>
  <c r="AQ22" i="28" s="1"/>
  <c r="BG178" i="13"/>
  <c r="BE24" i="28" s="1"/>
  <c r="BA180" i="13"/>
  <c r="AY26" i="28" s="1"/>
  <c r="AN183" i="13"/>
  <c r="AL29" i="28" s="1"/>
  <c r="AP185" i="13"/>
  <c r="AN31" i="28" s="1"/>
  <c r="BI187" i="13"/>
  <c r="BG33" i="28" s="1"/>
  <c r="AM189" i="13"/>
  <c r="AK35"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8" i="28" s="1"/>
  <c r="BI173" i="13"/>
  <c r="BG19" i="28" s="1"/>
  <c r="AT176" i="13"/>
  <c r="AR22" i="28" s="1"/>
  <c r="BH178" i="13"/>
  <c r="BF24" i="28" s="1"/>
  <c r="AR181" i="13"/>
  <c r="AP27" i="28" s="1"/>
  <c r="AO183" i="13"/>
  <c r="AM29" i="28" s="1"/>
  <c r="BF185" i="13"/>
  <c r="BD31" i="28" s="1"/>
  <c r="BJ187" i="13"/>
  <c r="BH33" i="28" s="1"/>
  <c r="AN189" i="13"/>
  <c r="AL35"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8" i="28" s="1"/>
  <c r="AX174" i="13"/>
  <c r="AV20" i="28" s="1"/>
  <c r="AU176" i="13"/>
  <c r="AS22" i="28" s="1"/>
  <c r="BN178" i="13"/>
  <c r="BL24" i="28" s="1"/>
  <c r="AS181" i="13"/>
  <c r="AQ27" i="28" s="1"/>
  <c r="AP183" i="13"/>
  <c r="AN29" i="28" s="1"/>
  <c r="BG185" i="13"/>
  <c r="BE31" i="28" s="1"/>
  <c r="BK187" i="13"/>
  <c r="BI33" i="28" s="1"/>
  <c r="BF189" i="13"/>
  <c r="BD35"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8" i="28" s="1"/>
  <c r="BC174" i="13"/>
  <c r="BA20" i="28" s="1"/>
  <c r="AW176" i="13"/>
  <c r="AU22" i="28" s="1"/>
  <c r="AJ179" i="13"/>
  <c r="AH25" i="28" s="1"/>
  <c r="AX181" i="13"/>
  <c r="AV27" i="28" s="1"/>
  <c r="BN183" i="13"/>
  <c r="BL29" i="28" s="1"/>
  <c r="BH185" i="13"/>
  <c r="BF31" i="28" s="1"/>
  <c r="AQ188" i="13"/>
  <c r="AO34" i="28" s="1"/>
  <c r="BG189" i="13"/>
  <c r="BE35"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9" i="28" s="1"/>
  <c r="AM175" i="13"/>
  <c r="AK21" i="28" s="1"/>
  <c r="BJ177" i="13"/>
  <c r="BH23" i="28" s="1"/>
  <c r="BL179" i="13"/>
  <c r="BJ25" i="28" s="1"/>
  <c r="BE181" i="13"/>
  <c r="BC27" i="28" s="1"/>
  <c r="AS184" i="13"/>
  <c r="AQ30" i="28" s="1"/>
  <c r="BG186" i="13"/>
  <c r="BE32" i="28" s="1"/>
  <c r="BK188" i="13"/>
  <c r="BI34"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8" i="28" s="1"/>
  <c r="AK176" i="13"/>
  <c r="AI22" i="28" s="1"/>
  <c r="BM179" i="13"/>
  <c r="BK25" i="28" s="1"/>
  <c r="AH184" i="13"/>
  <c r="AF30" i="28" s="1"/>
  <c r="AH187" i="13"/>
  <c r="AF33"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6" i="28" s="1"/>
  <c r="BC170" i="13"/>
  <c r="BA16" i="28" s="1"/>
  <c r="BO170" i="13"/>
  <c r="BM16" i="28" s="1"/>
  <c r="Y172" i="13"/>
  <c r="AA18" i="28" s="1"/>
  <c r="Y175" i="13"/>
  <c r="AA21" i="28" s="1"/>
  <c r="Y178" i="13"/>
  <c r="AA24" i="28" s="1"/>
  <c r="Y181" i="13"/>
  <c r="AA27" i="28" s="1"/>
  <c r="Y184" i="13"/>
  <c r="AA30" i="28" s="1"/>
  <c r="Y187" i="13"/>
  <c r="AA33"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8" i="28" s="1"/>
  <c r="AL176" i="13"/>
  <c r="AJ22" i="28" s="1"/>
  <c r="AW180" i="13"/>
  <c r="AU26" i="28" s="1"/>
  <c r="AQ184" i="13"/>
  <c r="AO30" i="28" s="1"/>
  <c r="AS188" i="13"/>
  <c r="AQ34"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6" i="28" s="1"/>
  <c r="BD170" i="13"/>
  <c r="BB16" i="28" s="1"/>
  <c r="AG170" i="13"/>
  <c r="AE16" i="28" s="1"/>
  <c r="Z172" i="13"/>
  <c r="AB18" i="28" s="1"/>
  <c r="Z175" i="13"/>
  <c r="AB21" i="28" s="1"/>
  <c r="Z178" i="13"/>
  <c r="AB24" i="28" s="1"/>
  <c r="Z181" i="13"/>
  <c r="AB27" i="28" s="1"/>
  <c r="Z184" i="13"/>
  <c r="AB30" i="28" s="1"/>
  <c r="Z187" i="13"/>
  <c r="AB33"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8" i="28" s="1"/>
  <c r="AN177" i="13"/>
  <c r="AL23" i="28" s="1"/>
  <c r="AX180" i="13"/>
  <c r="AV26" i="28" s="1"/>
  <c r="AT184" i="13"/>
  <c r="AR30" i="28" s="1"/>
  <c r="AT188" i="13"/>
  <c r="AR34"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6" i="28" s="1"/>
  <c r="BE170" i="13"/>
  <c r="BC16" i="28" s="1"/>
  <c r="AA172" i="13"/>
  <c r="AC18" i="28" s="1"/>
  <c r="AA175" i="13"/>
  <c r="AC21" i="28" s="1"/>
  <c r="AA178" i="13"/>
  <c r="AC24" i="28" s="1"/>
  <c r="AA181" i="13"/>
  <c r="AC27" i="28" s="1"/>
  <c r="AA184" i="13"/>
  <c r="AC30" i="28" s="1"/>
  <c r="AA187" i="13"/>
  <c r="AC33" i="28" s="1"/>
  <c r="AA190" i="13"/>
  <c r="AA193" i="13"/>
  <c r="AA196" i="13"/>
  <c r="AA199" i="13"/>
  <c r="AA202" i="13"/>
  <c r="AA205" i="13"/>
  <c r="AA208" i="13"/>
  <c r="AA211" i="13"/>
  <c r="AA214" i="13"/>
  <c r="AA217" i="13"/>
  <c r="AA220" i="13"/>
  <c r="AA223" i="13"/>
  <c r="AA226" i="13"/>
  <c r="AA229" i="13"/>
  <c r="AA232" i="13"/>
  <c r="AA235" i="13"/>
  <c r="AA238" i="13"/>
  <c r="AA241" i="13"/>
  <c r="AU173" i="13"/>
  <c r="AS19" i="28" s="1"/>
  <c r="AO177" i="13"/>
  <c r="AM23" i="28" s="1"/>
  <c r="AY180" i="13"/>
  <c r="AW26" i="28" s="1"/>
  <c r="AU184" i="13"/>
  <c r="AS30" i="28" s="1"/>
  <c r="AU188" i="13"/>
  <c r="AS34"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6" i="28" s="1"/>
  <c r="AT170" i="13"/>
  <c r="AR16" i="28" s="1"/>
  <c r="BF170" i="13"/>
  <c r="BD16" i="28" s="1"/>
  <c r="AB172" i="13"/>
  <c r="AD18" i="28" s="1"/>
  <c r="AB175" i="13"/>
  <c r="AD21" i="28" s="1"/>
  <c r="AB178" i="13"/>
  <c r="AD24" i="28" s="1"/>
  <c r="AB181" i="13"/>
  <c r="AD27" i="28" s="1"/>
  <c r="AB184" i="13"/>
  <c r="AD30" i="28" s="1"/>
  <c r="AB187" i="13"/>
  <c r="AD33"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20" i="28" s="1"/>
  <c r="BM177" i="13"/>
  <c r="BK23" i="28" s="1"/>
  <c r="AZ182" i="13"/>
  <c r="AX28" i="28" s="1"/>
  <c r="BD186" i="13"/>
  <c r="BB32" i="28" s="1"/>
  <c r="AL189" i="13"/>
  <c r="AJ35"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6" i="28" s="1"/>
  <c r="AX170" i="13"/>
  <c r="AV16" i="28" s="1"/>
  <c r="BJ170" i="13"/>
  <c r="BH16" i="28" s="1"/>
  <c r="AB173" i="13"/>
  <c r="AD19" i="28" s="1"/>
  <c r="AB176" i="13"/>
  <c r="AD22" i="28" s="1"/>
  <c r="AB179" i="13"/>
  <c r="AD25" i="28" s="1"/>
  <c r="AB182" i="13"/>
  <c r="AD28" i="28" s="1"/>
  <c r="AB185" i="13"/>
  <c r="AD31" i="28" s="1"/>
  <c r="AB188" i="13"/>
  <c r="AD34"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9" i="28" s="1"/>
  <c r="AL179" i="13"/>
  <c r="AJ25" i="28" s="1"/>
  <c r="BE186" i="13"/>
  <c r="BC32"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6" i="28" s="1"/>
  <c r="BG170" i="13"/>
  <c r="BE16" i="28" s="1"/>
  <c r="AA17" i="28"/>
  <c r="Z176" i="13"/>
  <c r="AB22" i="28" s="1"/>
  <c r="AB180" i="13"/>
  <c r="AD26" i="28" s="1"/>
  <c r="Z186" i="13"/>
  <c r="AB32" i="28" s="1"/>
  <c r="AA191" i="13"/>
  <c r="Y197" i="13"/>
  <c r="AA201" i="13"/>
  <c r="Y207" i="13"/>
  <c r="Z212" i="13"/>
  <c r="AB216" i="13"/>
  <c r="Z222" i="13"/>
  <c r="AA227" i="13"/>
  <c r="Y233" i="13"/>
  <c r="AA237" i="13"/>
  <c r="Y243" i="13"/>
  <c r="AA247" i="13"/>
  <c r="Y252" i="13"/>
  <c r="AA256" i="13"/>
  <c r="Y261" i="13"/>
  <c r="AA265" i="13"/>
  <c r="Z170" i="13"/>
  <c r="AB16"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9" i="28" s="1"/>
  <c r="M195" i="13"/>
  <c r="M207" i="13"/>
  <c r="M219" i="13"/>
  <c r="M231" i="13"/>
  <c r="M243" i="13"/>
  <c r="M255" i="13"/>
  <c r="M267" i="13"/>
  <c r="L179" i="13"/>
  <c r="Q25" i="28" s="1"/>
  <c r="L191" i="13"/>
  <c r="L203" i="13"/>
  <c r="L215" i="13"/>
  <c r="L227" i="13"/>
  <c r="L239" i="13"/>
  <c r="L251" i="13"/>
  <c r="L263" i="13"/>
  <c r="BF173" i="13"/>
  <c r="BD19" i="28" s="1"/>
  <c r="BJ179" i="13"/>
  <c r="BH25" i="28" s="1"/>
  <c r="BJ186" i="13"/>
  <c r="BH32"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6" i="28" s="1"/>
  <c r="BH170" i="13"/>
  <c r="BF16" i="28" s="1"/>
  <c r="AB17" i="28"/>
  <c r="AA176" i="13"/>
  <c r="AC22" i="28" s="1"/>
  <c r="Y182" i="13"/>
  <c r="AA28" i="28" s="1"/>
  <c r="AA186" i="13"/>
  <c r="AC32" i="28" s="1"/>
  <c r="Y192" i="13"/>
  <c r="Z197" i="13"/>
  <c r="AB201" i="13"/>
  <c r="Z207" i="13"/>
  <c r="AA212" i="13"/>
  <c r="Y218" i="13"/>
  <c r="AA222" i="13"/>
  <c r="Y228" i="13"/>
  <c r="Z233" i="13"/>
  <c r="AB237" i="13"/>
  <c r="BG173" i="13"/>
  <c r="BE19" i="28" s="1"/>
  <c r="BB181" i="13"/>
  <c r="AZ27" i="28" s="1"/>
  <c r="BO186" i="13"/>
  <c r="BM32"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1" i="28" s="1"/>
  <c r="BC181" i="13"/>
  <c r="BA27" i="28" s="1"/>
  <c r="AG187" i="13"/>
  <c r="AE33"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6" i="28" s="1"/>
  <c r="BK170" i="13"/>
  <c r="BI16" i="28" s="1"/>
  <c r="AD17" i="28"/>
  <c r="Z177" i="13"/>
  <c r="AB23" i="28" s="1"/>
  <c r="AA182" i="13"/>
  <c r="AC28" i="28" s="1"/>
  <c r="Y188" i="13"/>
  <c r="AA34" i="28" s="1"/>
  <c r="AA192" i="13"/>
  <c r="Y198" i="13"/>
  <c r="Z203" i="13"/>
  <c r="AB207" i="13"/>
  <c r="Z213" i="13"/>
  <c r="AA218" i="13"/>
  <c r="Y224" i="13"/>
  <c r="AA228" i="13"/>
  <c r="Y234" i="13"/>
  <c r="Z239" i="13"/>
  <c r="AB243" i="13"/>
  <c r="AA248" i="13"/>
  <c r="AB252" i="13"/>
  <c r="AA257" i="13"/>
  <c r="AB261" i="13"/>
  <c r="AA266" i="13"/>
  <c r="Y170" i="13"/>
  <c r="AA16"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20" i="28" s="1"/>
  <c r="M186" i="13"/>
  <c r="R32" i="28" s="1"/>
  <c r="M198" i="13"/>
  <c r="M210" i="13"/>
  <c r="M222" i="13"/>
  <c r="M234" i="13"/>
  <c r="M246" i="13"/>
  <c r="M258" i="13"/>
  <c r="M170" i="13"/>
  <c r="R16" i="28" s="1"/>
  <c r="L182" i="13"/>
  <c r="Q28" i="28" s="1"/>
  <c r="L194" i="13"/>
  <c r="L206" i="13"/>
  <c r="L218" i="13"/>
  <c r="L230" i="13"/>
  <c r="L242" i="13"/>
  <c r="L254" i="13"/>
  <c r="L266" i="13"/>
  <c r="K178" i="13"/>
  <c r="P24" i="28" s="1"/>
  <c r="K190" i="13"/>
  <c r="K202" i="13"/>
  <c r="K214" i="13"/>
  <c r="K226" i="13"/>
  <c r="K238" i="13"/>
  <c r="K250" i="13"/>
  <c r="K262" i="13"/>
  <c r="I174" i="13"/>
  <c r="O20" i="28" s="1"/>
  <c r="I186" i="13"/>
  <c r="O32" i="28" s="1"/>
  <c r="I198" i="13"/>
  <c r="I210" i="13"/>
  <c r="I222" i="13"/>
  <c r="I234" i="13"/>
  <c r="I246" i="13"/>
  <c r="I258" i="13"/>
  <c r="F179" i="13"/>
  <c r="N25" i="28" s="1"/>
  <c r="F191" i="13"/>
  <c r="F203" i="13"/>
  <c r="F215" i="13"/>
  <c r="F227" i="13"/>
  <c r="F239" i="13"/>
  <c r="F251" i="13"/>
  <c r="F263" i="13"/>
  <c r="AT177" i="13"/>
  <c r="AR23" i="28" s="1"/>
  <c r="AI183" i="13"/>
  <c r="AG29" i="28" s="1"/>
  <c r="BH189" i="13"/>
  <c r="BF35"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6" i="28" s="1"/>
  <c r="Y174" i="13"/>
  <c r="AA20" i="28" s="1"/>
  <c r="Z179" i="13"/>
  <c r="AB25" i="28" s="1"/>
  <c r="AB183" i="13"/>
  <c r="AD29" i="28" s="1"/>
  <c r="Z189" i="13"/>
  <c r="AB35"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1" i="28" s="1"/>
  <c r="AK185" i="13"/>
  <c r="AI31"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6" i="28" s="1"/>
  <c r="AC17" i="28"/>
  <c r="AA179" i="13"/>
  <c r="AC25" i="28" s="1"/>
  <c r="AB186" i="13"/>
  <c r="AD32"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2" i="28" s="1"/>
  <c r="M190" i="13"/>
  <c r="M204" i="13"/>
  <c r="M218" i="13"/>
  <c r="M233" i="13"/>
  <c r="M248" i="13"/>
  <c r="M262" i="13"/>
  <c r="L176" i="13"/>
  <c r="Q22" i="28" s="1"/>
  <c r="L190" i="13"/>
  <c r="L205" i="13"/>
  <c r="L220" i="13"/>
  <c r="L234" i="13"/>
  <c r="L248" i="13"/>
  <c r="L262" i="13"/>
  <c r="K176" i="13"/>
  <c r="P22" i="28" s="1"/>
  <c r="K189" i="13"/>
  <c r="P35" i="28" s="1"/>
  <c r="K203" i="13"/>
  <c r="K216" i="13"/>
  <c r="K229" i="13"/>
  <c r="K242" i="13"/>
  <c r="K255" i="13"/>
  <c r="K268" i="13"/>
  <c r="I181" i="13"/>
  <c r="O27" i="28" s="1"/>
  <c r="I194" i="13"/>
  <c r="I207" i="13"/>
  <c r="I220" i="13"/>
  <c r="I233" i="13"/>
  <c r="I247" i="13"/>
  <c r="I260" i="13"/>
  <c r="F183" i="13"/>
  <c r="N29" i="28" s="1"/>
  <c r="F196" i="13"/>
  <c r="F209" i="13"/>
  <c r="F222" i="13"/>
  <c r="F235" i="13"/>
  <c r="F248" i="13"/>
  <c r="F261" i="13"/>
  <c r="AR175" i="13"/>
  <c r="AP21" i="28" s="1"/>
  <c r="BI185" i="13"/>
  <c r="BG31"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6" i="28" s="1"/>
  <c r="Y173" i="13"/>
  <c r="AA19" i="28" s="1"/>
  <c r="Y180" i="13"/>
  <c r="AA26" i="28" s="1"/>
  <c r="Z188" i="13"/>
  <c r="AB34"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3" i="28" s="1"/>
  <c r="M191" i="13"/>
  <c r="M205" i="13"/>
  <c r="M220" i="13"/>
  <c r="M235" i="13"/>
  <c r="M249" i="13"/>
  <c r="M263" i="13"/>
  <c r="L177" i="13"/>
  <c r="Q23" i="28" s="1"/>
  <c r="L192" i="13"/>
  <c r="L207" i="13"/>
  <c r="L221" i="13"/>
  <c r="L235" i="13"/>
  <c r="L249" i="13"/>
  <c r="L264" i="13"/>
  <c r="K177" i="13"/>
  <c r="P23" i="28" s="1"/>
  <c r="K191" i="13"/>
  <c r="K204" i="13"/>
  <c r="K217" i="13"/>
  <c r="K230" i="13"/>
  <c r="K243" i="13"/>
  <c r="K256" i="13"/>
  <c r="K269" i="13"/>
  <c r="I182" i="13"/>
  <c r="O28" i="28" s="1"/>
  <c r="I195" i="13"/>
  <c r="I208" i="13"/>
  <c r="I221" i="13"/>
  <c r="I235" i="13"/>
  <c r="I248" i="13"/>
  <c r="I261" i="13"/>
  <c r="F184" i="13"/>
  <c r="N30" i="28" s="1"/>
  <c r="F197" i="13"/>
  <c r="F210" i="13"/>
  <c r="F223" i="13"/>
  <c r="F236" i="13"/>
  <c r="F249" i="13"/>
  <c r="F262" i="13"/>
  <c r="AI176" i="13"/>
  <c r="AG22" i="28" s="1"/>
  <c r="BL188" i="13"/>
  <c r="BJ34"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6" i="28" s="1"/>
  <c r="Z173" i="13"/>
  <c r="AB19" i="28" s="1"/>
  <c r="Z180" i="13"/>
  <c r="AB26" i="28" s="1"/>
  <c r="AA188" i="13"/>
  <c r="AC34"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4" i="28" s="1"/>
  <c r="M192" i="13"/>
  <c r="M206" i="13"/>
  <c r="M221" i="13"/>
  <c r="M236" i="13"/>
  <c r="M250" i="13"/>
  <c r="M264" i="13"/>
  <c r="L178" i="13"/>
  <c r="Q24" i="28" s="1"/>
  <c r="L193" i="13"/>
  <c r="L208" i="13"/>
  <c r="L222" i="13"/>
  <c r="L236" i="13"/>
  <c r="L250" i="13"/>
  <c r="L265" i="13"/>
  <c r="K179" i="13"/>
  <c r="P25" i="28" s="1"/>
  <c r="K192" i="13"/>
  <c r="K205" i="13"/>
  <c r="K218" i="13"/>
  <c r="K231" i="13"/>
  <c r="K244" i="13"/>
  <c r="K257" i="13"/>
  <c r="K170" i="13"/>
  <c r="P16" i="28" s="1"/>
  <c r="I183" i="13"/>
  <c r="O29" i="28" s="1"/>
  <c r="I196" i="13"/>
  <c r="I209" i="13"/>
  <c r="I223" i="13"/>
  <c r="I236" i="13"/>
  <c r="I249" i="13"/>
  <c r="I262" i="13"/>
  <c r="F172" i="13"/>
  <c r="N18" i="28" s="1"/>
  <c r="F185" i="13"/>
  <c r="N31" i="28" s="1"/>
  <c r="F198" i="13"/>
  <c r="F211" i="13"/>
  <c r="F224" i="13"/>
  <c r="F237" i="13"/>
  <c r="F250" i="13"/>
  <c r="F264" i="13"/>
  <c r="C23" i="10"/>
  <c r="BK177" i="13"/>
  <c r="BI23" i="28" s="1"/>
  <c r="BN188" i="13"/>
  <c r="BL34"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6" i="28" s="1"/>
  <c r="AA173" i="13"/>
  <c r="AC19" i="28" s="1"/>
  <c r="AA180" i="13"/>
  <c r="AC26" i="28" s="1"/>
  <c r="Y189" i="13"/>
  <c r="AA35"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5" i="28" s="1"/>
  <c r="M193" i="13"/>
  <c r="M208" i="13"/>
  <c r="M223" i="13"/>
  <c r="M237" i="13"/>
  <c r="M251" i="13"/>
  <c r="M265" i="13"/>
  <c r="L180" i="13"/>
  <c r="Q26" i="28" s="1"/>
  <c r="L195" i="13"/>
  <c r="L209" i="13"/>
  <c r="L223" i="13"/>
  <c r="L237" i="13"/>
  <c r="L252" i="13"/>
  <c r="L267" i="13"/>
  <c r="K180" i="13"/>
  <c r="P26" i="28" s="1"/>
  <c r="K193" i="13"/>
  <c r="K206" i="13"/>
  <c r="K219" i="13"/>
  <c r="K232" i="13"/>
  <c r="K245" i="13"/>
  <c r="K258" i="13"/>
  <c r="I184" i="13"/>
  <c r="O30" i="28" s="1"/>
  <c r="I197" i="13"/>
  <c r="I211" i="13"/>
  <c r="I224" i="13"/>
  <c r="I237" i="13"/>
  <c r="I250" i="13"/>
  <c r="I263" i="13"/>
  <c r="F173" i="13"/>
  <c r="N19" i="28" s="1"/>
  <c r="F186" i="13"/>
  <c r="N32" i="28" s="1"/>
  <c r="F199" i="13"/>
  <c r="F212" i="13"/>
  <c r="F225" i="13"/>
  <c r="F238" i="13"/>
  <c r="F252" i="13"/>
  <c r="F265" i="13"/>
  <c r="BL177" i="13"/>
  <c r="BJ23" i="28" s="1"/>
  <c r="AK189" i="13"/>
  <c r="AI35"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6" i="28" s="1"/>
  <c r="Z174" i="13"/>
  <c r="AB20" i="28" s="1"/>
  <c r="Z182" i="13"/>
  <c r="AB28" i="28" s="1"/>
  <c r="AA189" i="13"/>
  <c r="AC35"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6" i="28" s="1"/>
  <c r="M194" i="13"/>
  <c r="M209" i="13"/>
  <c r="M224" i="13"/>
  <c r="M238" i="13"/>
  <c r="M252" i="13"/>
  <c r="M266" i="13"/>
  <c r="L181" i="13"/>
  <c r="Q27" i="28" s="1"/>
  <c r="L196" i="13"/>
  <c r="L210" i="13"/>
  <c r="L224" i="13"/>
  <c r="L238" i="13"/>
  <c r="L253" i="13"/>
  <c r="L268" i="13"/>
  <c r="K181" i="13"/>
  <c r="P27" i="28" s="1"/>
  <c r="K194" i="13"/>
  <c r="K207" i="13"/>
  <c r="K220" i="13"/>
  <c r="K233" i="13"/>
  <c r="K246" i="13"/>
  <c r="K259" i="13"/>
  <c r="I172" i="13"/>
  <c r="O18" i="28" s="1"/>
  <c r="I185" i="13"/>
  <c r="O31" i="28" s="1"/>
  <c r="I199" i="13"/>
  <c r="I212" i="13"/>
  <c r="I225" i="13"/>
  <c r="I238" i="13"/>
  <c r="I251" i="13"/>
  <c r="I264" i="13"/>
  <c r="F174" i="13"/>
  <c r="N20" i="28" s="1"/>
  <c r="F187" i="13"/>
  <c r="N33"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6" i="28" s="1"/>
  <c r="BM170" i="13"/>
  <c r="BK16" i="28" s="1"/>
  <c r="AA174" i="13"/>
  <c r="AC20" i="28" s="1"/>
  <c r="Y183" i="13"/>
  <c r="AA29" i="28" s="1"/>
  <c r="AB189" i="13"/>
  <c r="AD35" i="28" s="1"/>
  <c r="Z198" i="13"/>
  <c r="Y206" i="13"/>
  <c r="AA213" i="13"/>
  <c r="Z221" i="13"/>
  <c r="AB228" i="13"/>
  <c r="AA236" i="13"/>
  <c r="BD181" i="13"/>
  <c r="BB27"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6" i="28" s="1"/>
  <c r="Y176" i="13"/>
  <c r="AA22" i="28" s="1"/>
  <c r="AA183" i="13"/>
  <c r="AC29"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30" i="28" s="1"/>
  <c r="M199" i="13"/>
  <c r="M213" i="13"/>
  <c r="M227" i="13"/>
  <c r="M241" i="13"/>
  <c r="M256" i="13"/>
  <c r="L185" i="13"/>
  <c r="Q31" i="28" s="1"/>
  <c r="L199" i="13"/>
  <c r="L213" i="13"/>
  <c r="L228" i="13"/>
  <c r="L243" i="13"/>
  <c r="L257" i="13"/>
  <c r="K184" i="13"/>
  <c r="P30" i="28" s="1"/>
  <c r="K197" i="13"/>
  <c r="K210" i="13"/>
  <c r="K223" i="13"/>
  <c r="K236" i="13"/>
  <c r="K249" i="13"/>
  <c r="K263" i="13"/>
  <c r="I176" i="13"/>
  <c r="O22" i="28" s="1"/>
  <c r="I189" i="13"/>
  <c r="O35" i="28" s="1"/>
  <c r="I202" i="13"/>
  <c r="I215" i="13"/>
  <c r="I228" i="13"/>
  <c r="I241" i="13"/>
  <c r="I254" i="13"/>
  <c r="I267" i="13"/>
  <c r="F177" i="13"/>
  <c r="N23" i="28" s="1"/>
  <c r="F190" i="13"/>
  <c r="F204" i="13"/>
  <c r="F217" i="13"/>
  <c r="F230" i="13"/>
  <c r="F243" i="13"/>
  <c r="F256" i="13"/>
  <c r="F269" i="13"/>
  <c r="F244" i="13"/>
  <c r="F218" i="13"/>
  <c r="F192" i="13"/>
  <c r="I268" i="13"/>
  <c r="I242" i="13"/>
  <c r="I216" i="13"/>
  <c r="I190" i="13"/>
  <c r="K264" i="13"/>
  <c r="K237" i="13"/>
  <c r="K211" i="13"/>
  <c r="K185" i="13"/>
  <c r="P31" i="28" s="1"/>
  <c r="L258" i="13"/>
  <c r="L229" i="13"/>
  <c r="L200" i="13"/>
  <c r="L172" i="13"/>
  <c r="Q18" i="28" s="1"/>
  <c r="M242" i="13"/>
  <c r="M214" i="13"/>
  <c r="M185" i="13"/>
  <c r="R31"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9" i="28" s="1"/>
  <c r="AY170" i="13"/>
  <c r="AW16" i="28" s="1"/>
  <c r="AY268" i="13"/>
  <c r="AS266" i="13"/>
  <c r="AR263" i="13"/>
  <c r="AP260" i="13"/>
  <c r="BA256" i="13"/>
  <c r="AZ253" i="13"/>
  <c r="BG250" i="13"/>
  <c r="AJ247" i="13"/>
  <c r="AK244" i="13"/>
  <c r="AP240" i="13"/>
  <c r="AV236" i="13"/>
  <c r="BD232" i="13"/>
  <c r="AT227" i="13"/>
  <c r="AL222" i="13"/>
  <c r="BM211" i="13"/>
  <c r="AG200" i="13"/>
  <c r="BA182" i="13"/>
  <c r="AY28" i="28" s="1"/>
  <c r="F268" i="13"/>
  <c r="F242" i="13"/>
  <c r="F216" i="13"/>
  <c r="F189" i="13"/>
  <c r="N35" i="28" s="1"/>
  <c r="I266" i="13"/>
  <c r="I240" i="13"/>
  <c r="I214" i="13"/>
  <c r="I188" i="13"/>
  <c r="O34" i="28" s="1"/>
  <c r="K261" i="13"/>
  <c r="K235" i="13"/>
  <c r="K209" i="13"/>
  <c r="K183" i="13"/>
  <c r="P29" i="28" s="1"/>
  <c r="L256" i="13"/>
  <c r="L226" i="13"/>
  <c r="L198" i="13"/>
  <c r="M269" i="13"/>
  <c r="M240" i="13"/>
  <c r="M212" i="13"/>
  <c r="M182" i="13"/>
  <c r="R28"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5" i="28" s="1"/>
  <c r="AV170" i="13"/>
  <c r="AT16" i="28" s="1"/>
  <c r="AX268" i="13"/>
  <c r="BD265" i="13"/>
  <c r="BN262" i="13"/>
  <c r="AM260" i="13"/>
  <c r="AX256" i="13"/>
  <c r="AX253" i="13"/>
  <c r="BL249" i="13"/>
  <c r="BO246" i="13"/>
  <c r="BN243" i="13"/>
  <c r="BL239" i="13"/>
  <c r="AU236" i="13"/>
  <c r="BC231" i="13"/>
  <c r="AG227" i="13"/>
  <c r="AL221" i="13"/>
  <c r="BB211" i="13"/>
  <c r="BO199" i="13"/>
  <c r="AK179" i="13"/>
  <c r="AI25"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BQ20" i="28" l="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BQ28" i="28" s="1"/>
  <c r="O371" i="13"/>
  <c r="N371" i="13"/>
  <c r="AB128" i="13"/>
  <c r="N349" i="13"/>
  <c r="O349" i="13"/>
  <c r="AB106" i="13"/>
  <c r="N304" i="13"/>
  <c r="M304" i="13"/>
  <c r="F304" i="13" s="1" a="1"/>
  <c r="F304" i="13" s="1"/>
  <c r="BQ29" i="28" s="1"/>
  <c r="BG169" i="13"/>
  <c r="O378" i="13"/>
  <c r="N378" i="13"/>
  <c r="AB135" i="13"/>
  <c r="N342" i="13"/>
  <c r="M342" i="13"/>
  <c r="F342" i="13" s="1" a="1"/>
  <c r="F342" i="13" s="1"/>
  <c r="AB99" i="13"/>
  <c r="N361" i="13"/>
  <c r="O361" i="13"/>
  <c r="AB118" i="13"/>
  <c r="X16" i="28"/>
  <c r="BM169" i="13"/>
  <c r="N319" i="13"/>
  <c r="M319" i="13"/>
  <c r="F319" i="13" s="1" a="1"/>
  <c r="F319" i="13" s="1"/>
  <c r="U16" i="28"/>
  <c r="BJ169" i="13"/>
  <c r="N340" i="13"/>
  <c r="M340" i="13"/>
  <c r="F340" i="13" s="1" a="1"/>
  <c r="F340" i="13" s="1"/>
  <c r="M333" i="13"/>
  <c r="F333" i="13" s="1" a="1"/>
  <c r="F333" i="13" s="1"/>
  <c r="N333" i="13"/>
  <c r="N348" i="13"/>
  <c r="O348" i="13"/>
  <c r="AB105" i="13"/>
  <c r="N306" i="13"/>
  <c r="M306" i="13"/>
  <c r="F306" i="13" s="1" a="1"/>
  <c r="F306" i="13" s="1"/>
  <c r="BQ31" i="28" s="1"/>
  <c r="BL169" i="13"/>
  <c r="N366" i="13"/>
  <c r="O366" i="13"/>
  <c r="AB123" i="13"/>
  <c r="BK169" i="13"/>
  <c r="N323" i="13"/>
  <c r="M323" i="13"/>
  <c r="F323" i="13" s="1" a="1"/>
  <c r="F323" i="13" s="1"/>
  <c r="O365" i="13"/>
  <c r="N365" i="13"/>
  <c r="AB122" i="13"/>
  <c r="V16" i="28"/>
  <c r="N312" i="13"/>
  <c r="M312" i="13"/>
  <c r="F312" i="13" s="1" a="1"/>
  <c r="F312" i="13" s="1"/>
  <c r="N350" i="13"/>
  <c r="O350" i="13"/>
  <c r="AB107" i="13"/>
  <c r="M307" i="13"/>
  <c r="F307" i="13" s="1" a="1"/>
  <c r="F307" i="13" s="1"/>
  <c r="BQ32" i="28"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BQ34" i="28" s="1"/>
  <c r="N309" i="13"/>
  <c r="N360" i="13"/>
  <c r="O360" i="13"/>
  <c r="AB117" i="13"/>
  <c r="N293" i="13"/>
  <c r="M293" i="13"/>
  <c r="BQ18" i="28"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BQ33" i="28" s="1"/>
  <c r="N308" i="13"/>
  <c r="Z16" i="28"/>
  <c r="N292" i="13"/>
  <c r="M292" i="13"/>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6"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BQ27" i="28" s="1"/>
  <c r="N302" i="13"/>
  <c r="N364" i="13"/>
  <c r="O364" i="13"/>
  <c r="AB121" i="13"/>
  <c r="N363" i="13"/>
  <c r="O363" i="13"/>
  <c r="AB120" i="13"/>
  <c r="N299" i="13"/>
  <c r="M299" i="13"/>
  <c r="F299" i="13" s="1" a="1"/>
  <c r="F299" i="13" s="1"/>
  <c r="BQ24" i="28" s="1"/>
  <c r="O389" i="13"/>
  <c r="N389" i="13"/>
  <c r="AB146" i="13"/>
  <c r="O359" i="13"/>
  <c r="N359" i="13"/>
  <c r="AB116" i="13"/>
  <c r="M298" i="13"/>
  <c r="N298" i="13"/>
  <c r="N311" i="13"/>
  <c r="M311" i="13"/>
  <c r="F311" i="13" s="1" a="1"/>
  <c r="F311" i="13" s="1"/>
  <c r="M301" i="13"/>
  <c r="F301" i="13" s="1" a="1"/>
  <c r="F301" i="13" s="1"/>
  <c r="BQ26" i="28"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BQ30" i="28" s="1"/>
  <c r="N337" i="13"/>
  <c r="M337" i="13"/>
  <c r="F337" i="13" s="1" a="1"/>
  <c r="F337" i="13" s="1"/>
  <c r="N300" i="13"/>
  <c r="M300" i="13"/>
  <c r="F300" i="13" s="1" a="1"/>
  <c r="F300" i="13" s="1"/>
  <c r="BQ25" i="28" s="1"/>
  <c r="N297" i="13"/>
  <c r="M297" i="13"/>
  <c r="BQ22" i="28" s="1"/>
  <c r="N379" i="13"/>
  <c r="O379" i="13"/>
  <c r="AB136" i="13"/>
  <c r="O357" i="13"/>
  <c r="N357" i="13"/>
  <c r="AB114" i="13"/>
  <c r="N374" i="13"/>
  <c r="O374" i="13"/>
  <c r="AB131" i="13"/>
  <c r="N332" i="13"/>
  <c r="M332" i="13"/>
  <c r="F332" i="13" s="1" a="1"/>
  <c r="F332" i="13" s="1"/>
  <c r="BN16" i="28" l="1"/>
  <c r="BQ17" i="28"/>
  <c r="C112" i="10"/>
  <c r="BQ23" i="28"/>
  <c r="C114" i="10"/>
  <c r="BQ16" i="28"/>
  <c r="C111" i="10"/>
  <c r="BQ21" i="28"/>
  <c r="C109" i="10"/>
  <c r="C103" i="10"/>
  <c r="BQ19" i="28"/>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6"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60" i="13" l="1"/>
  <c r="AB159"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56" i="13"/>
  <c r="P11" i="28"/>
  <c r="O12" i="28"/>
  <c r="C22" i="22"/>
  <c r="E22" i="22"/>
  <c r="C87" i="10"/>
  <c r="D294" i="13" l="1"/>
  <c r="G31" i="27"/>
  <c r="F156" i="13"/>
  <c r="P12" i="28"/>
  <c r="Q11" i="28"/>
  <c r="C46" i="10"/>
  <c r="B31" i="26"/>
  <c r="I39" i="27"/>
  <c r="C93" i="10"/>
  <c r="D289" i="13" l="1"/>
  <c r="C85" i="10"/>
  <c r="C20" i="22"/>
  <c r="H34" i="22"/>
  <c r="E21" i="22"/>
  <c r="C21" i="22"/>
  <c r="H38" i="22"/>
  <c r="AF29" i="13"/>
  <c r="AD29" i="13"/>
  <c r="C77" i="10"/>
  <c r="F289" i="13"/>
  <c r="G30" i="27" s="1"/>
  <c r="C19" i="22"/>
  <c r="E19" i="22"/>
  <c r="AF28" i="13"/>
  <c r="C86" i="10"/>
  <c r="C14" i="26"/>
  <c r="L3" i="13" s="1"/>
  <c r="I156" i="13"/>
  <c r="Q12" i="28"/>
  <c r="R11" i="28"/>
  <c r="AD30" i="13" l="1"/>
  <c r="C23" i="22" s="1"/>
  <c r="C13" i="22"/>
  <c r="E13" i="22"/>
  <c r="AF30" i="13"/>
  <c r="E23" i="22" s="1"/>
  <c r="R12" i="28"/>
  <c r="S11" i="28"/>
  <c r="P49" i="15"/>
  <c r="P15" i="15" s="1"/>
  <c r="AI158" i="13" l="1"/>
  <c r="K156" i="13"/>
  <c r="S12" i="28"/>
  <c r="T11"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2" i="28"/>
  <c r="U11" i="28"/>
  <c r="D49" i="15"/>
  <c r="D15" i="15" s="1"/>
  <c r="BK166" i="13" l="1"/>
  <c r="BL158" i="13"/>
  <c r="N156" i="13"/>
  <c r="U12" i="28"/>
  <c r="V11" i="28"/>
  <c r="W11" i="28" s="1"/>
  <c r="BK161" i="13" l="1" a="1"/>
  <c r="BK161" i="13" s="1"/>
  <c r="BK163" i="13" a="1"/>
  <c r="BK163" i="13" s="1"/>
  <c r="BK165" i="13" a="1"/>
  <c r="BK165" i="13" s="1"/>
  <c r="BK162" i="13" a="1"/>
  <c r="BK162" i="13" s="1"/>
  <c r="BM158" i="13"/>
  <c r="BL166" i="13"/>
  <c r="O156" i="13"/>
  <c r="W12" i="28"/>
  <c r="X11" i="28"/>
  <c r="V12" i="28"/>
  <c r="D142" i="9"/>
  <c r="BL161" i="13" l="1" a="1"/>
  <c r="BL161" i="13" s="1"/>
  <c r="BL163" i="13" a="1"/>
  <c r="BL163" i="13" s="1"/>
  <c r="BL162" i="13" a="1"/>
  <c r="BL162" i="13" s="1"/>
  <c r="BL165" i="13" a="1"/>
  <c r="BL165" i="13" s="1"/>
  <c r="BM166" i="13"/>
  <c r="BN158" i="13"/>
  <c r="BK160" i="13"/>
  <c r="BK159" i="13" s="1"/>
  <c r="P156" i="13"/>
  <c r="Y11" i="28"/>
  <c r="X12" i="28"/>
  <c r="BM162" i="13" l="1" a="1"/>
  <c r="BM162" i="13" s="1"/>
  <c r="BM163" i="13" a="1"/>
  <c r="BM163" i="13" s="1"/>
  <c r="BM161" i="13" a="1"/>
  <c r="BM161" i="13" s="1"/>
  <c r="BM165" i="13" a="1"/>
  <c r="BM165" i="13" s="1"/>
  <c r="BN166" i="13"/>
  <c r="BO158" i="13"/>
  <c r="BO166" i="13" s="1"/>
  <c r="BL160" i="13"/>
  <c r="BL159" i="13" s="1"/>
  <c r="Z11" i="28"/>
  <c r="Y12"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1" i="28"/>
  <c r="Z12" i="28"/>
  <c r="T156" i="13"/>
  <c r="BN160" i="13" l="1"/>
  <c r="BO160" i="13"/>
  <c r="AB11" i="28"/>
  <c r="AA12" i="28"/>
  <c r="V156" i="13" l="1"/>
  <c r="AB12" i="28"/>
  <c r="AC11" i="28"/>
  <c r="C47" i="10"/>
  <c r="W156" i="13" l="1"/>
  <c r="AD11" i="28"/>
  <c r="AC12" i="28"/>
  <c r="Y156" i="13" l="1"/>
  <c r="AE11" i="28"/>
  <c r="AD12"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2" i="28"/>
  <c r="AF11" i="28"/>
  <c r="E28" i="22"/>
  <c r="AA156" i="13" l="1"/>
  <c r="AF12" i="28"/>
  <c r="AG11" i="28"/>
  <c r="G38" i="22"/>
  <c r="G40" i="22"/>
  <c r="G35" i="22"/>
  <c r="G36" i="22"/>
  <c r="G37" i="22"/>
  <c r="G33" i="22"/>
  <c r="G34" i="22"/>
  <c r="E103" i="10"/>
  <c r="D34" i="22"/>
  <c r="F34" i="22"/>
  <c r="F33" i="22"/>
  <c r="D105" i="10"/>
  <c r="D14" i="26" l="1"/>
  <c r="AG12" i="28"/>
  <c r="AH11" i="28"/>
  <c r="AI11" i="28" l="1"/>
  <c r="AH12" i="28"/>
  <c r="E3" i="10" l="1"/>
  <c r="E3" i="26"/>
  <c r="L3" i="27"/>
  <c r="L278" i="13"/>
  <c r="BR16" i="28"/>
  <c r="I278" i="13"/>
  <c r="K278" i="13"/>
  <c r="F278" i="13"/>
  <c r="G278" i="13"/>
  <c r="J278" i="13"/>
  <c r="AJ11" i="28"/>
  <c r="AI12" i="28"/>
  <c r="P278" i="13"/>
  <c r="Q278" i="13"/>
  <c r="N278" i="13"/>
  <c r="O278" i="13"/>
  <c r="R278" i="13"/>
  <c r="M278" i="13"/>
  <c r="O275" i="13"/>
  <c r="M275" i="13"/>
  <c r="N275" i="13"/>
  <c r="K275" i="13"/>
  <c r="R275" i="13"/>
  <c r="AK11" i="28" l="1"/>
  <c r="AJ12" i="28"/>
  <c r="BT46" i="28"/>
  <c r="BV46" i="28" s="1"/>
  <c r="BT41" i="28"/>
  <c r="BV41" i="28" s="1"/>
  <c r="BP16" i="28"/>
  <c r="H33" i="22"/>
  <c r="AB156" i="13" l="1"/>
  <c r="AL11" i="28"/>
  <c r="AK12" i="28"/>
  <c r="BT16" i="28"/>
  <c r="AG156" i="13" l="1"/>
  <c r="AM11" i="28"/>
  <c r="AL12" i="28"/>
  <c r="E12" i="22"/>
  <c r="E16" i="22" s="1"/>
  <c r="AH156" i="13" l="1"/>
  <c r="AN11" i="28"/>
  <c r="AM12" i="28"/>
  <c r="AI156" i="13" l="1"/>
  <c r="AO11" i="28"/>
  <c r="AN12" i="28"/>
  <c r="AH166" i="13"/>
  <c r="AH162" i="13" l="1" a="1"/>
  <c r="AH162" i="13" s="1"/>
  <c r="AH165" i="13" a="1"/>
  <c r="AH165" i="13" s="1"/>
  <c r="AH163" i="13" a="1"/>
  <c r="AH163" i="13" s="1"/>
  <c r="AH161" i="13" a="1"/>
  <c r="AH161" i="13" s="1"/>
  <c r="AJ156" i="13"/>
  <c r="AP11" i="28"/>
  <c r="AO12" i="28"/>
  <c r="AI166" i="13"/>
  <c r="AI165" i="13" l="1" a="1"/>
  <c r="AI165" i="13" s="1"/>
  <c r="AI162" i="13" a="1"/>
  <c r="AI162" i="13" s="1"/>
  <c r="AI163" i="13" a="1"/>
  <c r="AI163" i="13" s="1"/>
  <c r="AI161" i="13" a="1"/>
  <c r="AI161" i="13" s="1"/>
  <c r="AH160" i="13"/>
  <c r="AK156" i="13"/>
  <c r="AQ11" i="28"/>
  <c r="AP12" i="28"/>
  <c r="AJ166" i="13"/>
  <c r="AJ161" i="13" l="1" a="1"/>
  <c r="AJ161" i="13" s="1"/>
  <c r="AJ163" i="13" a="1"/>
  <c r="AJ163" i="13" s="1"/>
  <c r="AJ165" i="13" a="1"/>
  <c r="AJ165" i="13" s="1"/>
  <c r="AJ162" i="13" a="1"/>
  <c r="AJ162" i="13" s="1"/>
  <c r="AI160" i="13"/>
  <c r="AL156" i="13"/>
  <c r="AH159" i="13"/>
  <c r="AR11" i="28"/>
  <c r="AQ12" i="28"/>
  <c r="AK166" i="13"/>
  <c r="AK162" i="13" l="1" a="1"/>
  <c r="AK162" i="13" s="1"/>
  <c r="AK165" i="13" a="1"/>
  <c r="AK165" i="13" s="1"/>
  <c r="AK161" i="13" a="1"/>
  <c r="AK161" i="13" s="1"/>
  <c r="AK163" i="13" a="1"/>
  <c r="AK163" i="13" s="1"/>
  <c r="AJ160" i="13"/>
  <c r="AM156" i="13"/>
  <c r="AI159" i="13"/>
  <c r="AS11" i="28"/>
  <c r="AT11" i="28" s="1"/>
  <c r="AR12" i="28"/>
  <c r="AL166" i="13"/>
  <c r="AL162" i="13" l="1" a="1"/>
  <c r="AL162" i="13" s="1"/>
  <c r="AL161" i="13" a="1"/>
  <c r="AL161" i="13" s="1"/>
  <c r="AL163" i="13" a="1"/>
  <c r="AL163" i="13" s="1"/>
  <c r="AL165" i="13" a="1"/>
  <c r="AL165" i="13" s="1"/>
  <c r="AK160" i="13"/>
  <c r="AN156" i="13"/>
  <c r="AJ159" i="13"/>
  <c r="AU11" i="28"/>
  <c r="AT12" i="28"/>
  <c r="AS12" i="28"/>
  <c r="AM166" i="13"/>
  <c r="AM162" i="13" l="1" a="1"/>
  <c r="AM162" i="13" s="1"/>
  <c r="AM161" i="13" a="1"/>
  <c r="AM161" i="13" s="1"/>
  <c r="AM163" i="13" a="1"/>
  <c r="AM163" i="13" s="1"/>
  <c r="AM165" i="13" a="1"/>
  <c r="AM165" i="13" s="1"/>
  <c r="AL160" i="13"/>
  <c r="AO156" i="13"/>
  <c r="AK159" i="13"/>
  <c r="AV11" i="28"/>
  <c r="AU12" i="28"/>
  <c r="AN166" i="13"/>
  <c r="AN162" i="13" l="1" a="1"/>
  <c r="AN162" i="13" s="1"/>
  <c r="AN163" i="13" a="1"/>
  <c r="AN163" i="13" s="1"/>
  <c r="AN161" i="13" a="1"/>
  <c r="AN161" i="13" s="1"/>
  <c r="AN165" i="13" a="1"/>
  <c r="AN165" i="13" s="1"/>
  <c r="AM160" i="13"/>
  <c r="AP156" i="13"/>
  <c r="AL159" i="13"/>
  <c r="AW11" i="28"/>
  <c r="AV12" i="28"/>
  <c r="AO166" i="13"/>
  <c r="AO163" i="13" l="1" a="1"/>
  <c r="AO163" i="13" s="1"/>
  <c r="AO161" i="13" a="1"/>
  <c r="AO161" i="13" s="1"/>
  <c r="AO162" i="13" a="1"/>
  <c r="AO162" i="13" s="1"/>
  <c r="AO165" i="13" a="1"/>
  <c r="AO165" i="13" s="1"/>
  <c r="AN160" i="13"/>
  <c r="AQ156" i="13"/>
  <c r="AM159" i="13"/>
  <c r="AX11" i="28"/>
  <c r="AW12" i="28"/>
  <c r="AP166" i="13"/>
  <c r="AP165" i="13" l="1" a="1"/>
  <c r="AP165" i="13" s="1"/>
  <c r="AP163" i="13" a="1"/>
  <c r="AP163" i="13" s="1"/>
  <c r="AP162" i="13" a="1"/>
  <c r="AP162" i="13" s="1"/>
  <c r="AP161" i="13" a="1"/>
  <c r="AP161" i="13" s="1"/>
  <c r="AO160" i="13"/>
  <c r="AR156" i="13"/>
  <c r="AN159" i="13"/>
  <c r="AY11" i="28"/>
  <c r="AX12" i="28"/>
  <c r="AQ166" i="13"/>
  <c r="AQ162" i="13" l="1" a="1"/>
  <c r="AQ162" i="13" s="1"/>
  <c r="AQ165" i="13" a="1"/>
  <c r="AQ165" i="13" s="1"/>
  <c r="AQ163" i="13" a="1"/>
  <c r="AQ163" i="13" s="1"/>
  <c r="AQ161" i="13" a="1"/>
  <c r="AQ161" i="13" s="1"/>
  <c r="AP160" i="13"/>
  <c r="AS156" i="13"/>
  <c r="AO159" i="13"/>
  <c r="AZ11" i="28"/>
  <c r="AY12" i="28"/>
  <c r="AR166" i="13"/>
  <c r="AR162" i="13" l="1" a="1"/>
  <c r="AR162" i="13" s="1"/>
  <c r="AR165" i="13" a="1"/>
  <c r="AR165" i="13" s="1"/>
  <c r="AR161" i="13" a="1"/>
  <c r="AR161" i="13" s="1"/>
  <c r="AR163" i="13" a="1"/>
  <c r="AR163" i="13" s="1"/>
  <c r="AQ160" i="13"/>
  <c r="AT156" i="13"/>
  <c r="AP159" i="13"/>
  <c r="BA11" i="28"/>
  <c r="AZ12" i="28"/>
  <c r="AS166" i="13"/>
  <c r="AS165" i="13" l="1" a="1"/>
  <c r="AS165" i="13" s="1"/>
  <c r="AS162" i="13" a="1"/>
  <c r="AS162" i="13" s="1"/>
  <c r="AS163" i="13" a="1"/>
  <c r="AS163" i="13" s="1"/>
  <c r="AS161" i="13" a="1"/>
  <c r="AS161" i="13" s="1"/>
  <c r="AR160" i="13"/>
  <c r="AU156" i="13"/>
  <c r="AQ159" i="13"/>
  <c r="BB11" i="28"/>
  <c r="BA12" i="28"/>
  <c r="AT166" i="13"/>
  <c r="AT165" i="13" l="1" a="1"/>
  <c r="AT165" i="13" s="1"/>
  <c r="AT162" i="13" a="1"/>
  <c r="AT162" i="13" s="1"/>
  <c r="AT163" i="13" a="1"/>
  <c r="AT163" i="13" s="1"/>
  <c r="AT161" i="13" a="1"/>
  <c r="AT161" i="13" s="1"/>
  <c r="AS160" i="13"/>
  <c r="AV156" i="13"/>
  <c r="AR159" i="13"/>
  <c r="BC11" i="28"/>
  <c r="BB12" i="28"/>
  <c r="AU166" i="13"/>
  <c r="AU163" i="13" l="1" a="1"/>
  <c r="AU163" i="13" s="1"/>
  <c r="AU165" i="13" a="1"/>
  <c r="AU165" i="13" s="1"/>
  <c r="AU162" i="13" a="1"/>
  <c r="AU162" i="13" s="1"/>
  <c r="AU161" i="13" a="1"/>
  <c r="AU161" i="13" s="1"/>
  <c r="AT160" i="13"/>
  <c r="AW156" i="13"/>
  <c r="AS159" i="13"/>
  <c r="BD11" i="28"/>
  <c r="BC12" i="28"/>
  <c r="AV166" i="13"/>
  <c r="AV161" i="13" l="1" a="1"/>
  <c r="AV161" i="13" s="1"/>
  <c r="AV163" i="13" a="1"/>
  <c r="AV163" i="13" s="1"/>
  <c r="AV165" i="13" a="1"/>
  <c r="AV165" i="13" s="1"/>
  <c r="AV162" i="13" a="1"/>
  <c r="AV162" i="13" s="1"/>
  <c r="AU160" i="13"/>
  <c r="AX156" i="13"/>
  <c r="AT159" i="13"/>
  <c r="BE11" i="28"/>
  <c r="BD12" i="28"/>
  <c r="AW166" i="13"/>
  <c r="AW162" i="13" l="1" a="1"/>
  <c r="AW162" i="13" s="1"/>
  <c r="AW161" i="13" a="1"/>
  <c r="AW161" i="13" s="1"/>
  <c r="AW165" i="13" a="1"/>
  <c r="AW165" i="13" s="1"/>
  <c r="AW163" i="13" a="1"/>
  <c r="AW163" i="13" s="1"/>
  <c r="AV160" i="13"/>
  <c r="AY156" i="13"/>
  <c r="AU159" i="13"/>
  <c r="BF11" i="28"/>
  <c r="BE12" i="28"/>
  <c r="AX166" i="13"/>
  <c r="AX162" i="13" l="1" a="1"/>
  <c r="AX162" i="13" s="1"/>
  <c r="AX161" i="13" a="1"/>
  <c r="AX161" i="13" s="1"/>
  <c r="AX165" i="13" a="1"/>
  <c r="AX165" i="13" s="1"/>
  <c r="AX163" i="13" a="1"/>
  <c r="AX163" i="13" s="1"/>
  <c r="AW160" i="13"/>
  <c r="AZ156" i="13"/>
  <c r="AV159" i="13"/>
  <c r="BG11" i="28"/>
  <c r="BF12" i="28"/>
  <c r="AY166" i="13"/>
  <c r="AY165" i="13" l="1" a="1"/>
  <c r="AY165" i="13" s="1"/>
  <c r="AY162" i="13" a="1"/>
  <c r="AY162" i="13" s="1"/>
  <c r="AY161" i="13" a="1"/>
  <c r="AY161" i="13" s="1"/>
  <c r="AY163" i="13" a="1"/>
  <c r="AY163" i="13" s="1"/>
  <c r="AX160" i="13"/>
  <c r="BA156" i="13"/>
  <c r="AW159" i="13"/>
  <c r="BH11" i="28"/>
  <c r="BG12" i="28"/>
  <c r="AZ166" i="13"/>
  <c r="AZ163" i="13" l="1" a="1"/>
  <c r="AZ163" i="13" s="1"/>
  <c r="AZ162" i="13" a="1"/>
  <c r="AZ162" i="13" s="1"/>
  <c r="AZ161" i="13" a="1"/>
  <c r="AZ161" i="13" s="1"/>
  <c r="AZ165" i="13" a="1"/>
  <c r="AZ165" i="13" s="1"/>
  <c r="AY160" i="13"/>
  <c r="BB156" i="13"/>
  <c r="AX159" i="13"/>
  <c r="BI11" i="28"/>
  <c r="BH12" i="28"/>
  <c r="BA166" i="13"/>
  <c r="BA161" i="13" l="1" a="1"/>
  <c r="BA161" i="13" s="1"/>
  <c r="BA163" i="13" a="1"/>
  <c r="BA163" i="13" s="1"/>
  <c r="BA162" i="13" a="1"/>
  <c r="BA162" i="13" s="1"/>
  <c r="BA165" i="13" a="1"/>
  <c r="BA165" i="13" s="1"/>
  <c r="AZ160" i="13"/>
  <c r="BC156" i="13"/>
  <c r="AY159" i="13"/>
  <c r="BJ11" i="28"/>
  <c r="BI12" i="28"/>
  <c r="BB166" i="13"/>
  <c r="BB161" i="13" l="1" a="1"/>
  <c r="BB161" i="13" s="1"/>
  <c r="BB162" i="13" a="1"/>
  <c r="BB162" i="13" s="1"/>
  <c r="BB163" i="13" a="1"/>
  <c r="BB163" i="13" s="1"/>
  <c r="BB165" i="13" a="1"/>
  <c r="BB165" i="13" s="1"/>
  <c r="BA160" i="13"/>
  <c r="BD156" i="13"/>
  <c r="AZ159" i="13"/>
  <c r="BK11" i="28"/>
  <c r="BJ12" i="28"/>
  <c r="BB160" i="13" l="1"/>
  <c r="BE156" i="13"/>
  <c r="BA159" i="13"/>
  <c r="BL11" i="28"/>
  <c r="BK12" i="28"/>
  <c r="BC166" i="13"/>
  <c r="BC165" i="13" l="1" a="1"/>
  <c r="BC165" i="13" s="1"/>
  <c r="BC162" i="13" a="1"/>
  <c r="BC162" i="13" s="1"/>
  <c r="BC161" i="13" a="1"/>
  <c r="BC161" i="13" s="1"/>
  <c r="BC163" i="13" a="1"/>
  <c r="BC163" i="13" s="1"/>
  <c r="BF156" i="13"/>
  <c r="BB159" i="13"/>
  <c r="BM11" i="28"/>
  <c r="BM12" i="28" s="1"/>
  <c r="BL12"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8"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C26" i="27"/>
  <c r="BV40" i="28"/>
  <c r="C36" i="10"/>
  <c r="B68" i="27" s="1" a="1"/>
  <c r="B68" i="27" s="1"/>
  <c r="BU44" i="28"/>
  <c r="BV44" i="28"/>
  <c r="C27" i="27" l="1"/>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<sst xmlns="http://schemas.openxmlformats.org/spreadsheetml/2006/main" count="22832" uniqueCount="3693">
  <si>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</si>
  <si>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</si>
  <si>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</si>
  <si>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</si>
  <si>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</si>
  <si>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</si>
  <si>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</si>
  <si>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</si>
  <si>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</si>
  <si>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</si>
  <si>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</si>
  <si>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</si>
  <si>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</si>
  <si>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</si>
  <si>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</si>
  <si>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</si>
  <si>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</si>
  <si>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</si>
  <si>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</si>
  <si>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</si>
  <si>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</si>
  <si>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</si>
  <si>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</si>
  <si>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</si>
  <si>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</si>
  <si>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</si>
  <si>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</si>
  <si>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</si>
  <si>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</si>
  <si>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</si>
  <si>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</si>
  <si>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</si>
  <si>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</si>
  <si>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</si>
  <si>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</si>
  <si>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</si>
  <si>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</si>
  <si>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</si>
  <si>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</si>
  <si>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</si>
  <si>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</si>
  <si>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</si>
  <si>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</si>
  <si>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</si>
  <si>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</si>
  <si>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</si>
  <si>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</si>
  <si>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</si>
  <si>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</si>
  <si>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</si>
  <si>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</si>
  <si>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</si>
  <si>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</si>
  <si>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</si>
  <si>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</si>
  <si>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</si>
  <si>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</si>
  <si>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</si>
  <si>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</si>
  <si>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</si>
  <si>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</si>
  <si>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</si>
  <si>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</si>
  <si>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</si>
  <si>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</si>
  <si>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</si>
  <si>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</si>
  <si>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</si>
  <si>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</si>
  <si>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</si>
  <si>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</si>
  <si>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</si>
  <si>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</si>
  <si>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</si>
  <si>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</si>
  <si>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</si>
  <si>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</si>
  <si>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</si>
  <si>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</si>
  <si>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</si>
  <si>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</si>
  <si>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</si>
  <si>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</si>
  <si>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</si>
  <si>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</si>
  <si>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</si>
  <si>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</si>
  <si>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</si>
  <si>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</si>
  <si>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</si>
  <si>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</si>
  <si>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</si>
  <si>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</si>
  <si>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</si>
  <si>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</si>
  <si>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</si>
  <si>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</si>
  <si>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</si>
  <si>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</si>
  <si>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</si>
  <si>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</si>
  <si>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</si>
  <si>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</si>
  <si>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</si>
  <si>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</si>
  <si>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</si>
  <si>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</si>
  <si>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</si>
  <si>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</si>
  <si>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</si>
  <si>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</si>
  <si>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</si>
  <si>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</si>
  <si>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</si>
  <si>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</si>
  <si>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</si>
  <si>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</si>
  <si>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</si>
  <si>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</si>
  <si>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</si>
  <si>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</si>
  <si>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</si>
  <si>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</si>
  <si>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</si>
  <si>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</si>
  <si>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</si>
  <si>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</si>
  <si>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</si>
  <si>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</si>
  <si>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</si>
  <si>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</si>
  <si>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</si>
  <si>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</si>
  <si>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</si>
  <si>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</si>
  <si>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</si>
  <si>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</si>
  <si>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</si>
  <si>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</si>
  <si>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</si>
  <si>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</si>
  <si>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</si>
  <si>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</si>
  <si>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</si>
  <si>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</si>
  <si>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</si>
  <si>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</si>
  <si>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</si>
  <si>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</si>
  <si>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</si>
  <si>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</si>
  <si>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</si>
  <si>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</si>
  <si>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</si>
  <si>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</si>
  <si>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</si>
  <si>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</si>
  <si>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</si>
  <si>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</si>
  <si>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</si>
  <si>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</si>
  <si>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</si>
  <si>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</si>
  <si>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</si>
  <si>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</si>
  <si>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</si>
  <si>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</si>
  <si>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</si>
  <si>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</si>
  <si>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</si>
  <si>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</si>
  <si>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</si>
  <si>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</si>
  <si>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</si>
  <si>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</si>
  <si>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</si>
  <si>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</si>
  <si>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</si>
  <si>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</si>
  <si>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</si>
  <si>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</si>
  <si>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</si>
  <si>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</si>
  <si>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</si>
  <si>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</si>
  <si>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</si>
  <si>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</si>
  <si>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</si>
  <si>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</si>
  <si>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</si>
  <si>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</si>
  <si>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</si>
  <si>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</si>
  <si>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</si>
  <si>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</si>
  <si>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</si>
  <si>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</si>
  <si>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</si>
  <si>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</si>
  <si>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</si>
  <si>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</si>
  <si>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</si>
  <si>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</si>
  <si>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</si>
  <si>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</si>
  <si>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</si>
  <si>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</si>
  <si>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</si>
  <si>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</si>
  <si>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</si>
  <si>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</si>
  <si>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</si>
  <si>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</si>
  <si>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</si>
  <si>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</si>
  <si>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</si>
  <si>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</si>
  <si>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</si>
  <si>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</si>
  <si>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</si>
  <si>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</si>
  <si>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</si>
  <si>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</si>
  <si>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</si>
  <si>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</si>
  <si>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</si>
  <si>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</si>
  <si>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</si>
  <si>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</si>
  <si>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</si>
  <si>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</si>
  <si>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</si>
  <si>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</si>
  <si>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</si>
  <si>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</si>
  <si>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</si>
  <si>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</si>
  <si>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</si>
  <si>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</si>
  <si>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</si>
  <si>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</si>
  <si>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</si>
  <si>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</si>
  <si>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</si>
  <si>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</si>
  <si>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</si>
  <si>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</si>
  <si>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</si>
  <si>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</si>
  <si>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</si>
  <si>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</si>
  <si>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</si>
  <si>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</si>
  <si>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</si>
  <si>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</si>
  <si>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</si>
  <si>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</si>
  <si>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</si>
  <si>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</si>
  <si>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</si>
  <si>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</si>
  <si>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</si>
  <si>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</si>
  <si>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</si>
  <si>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</si>
  <si>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</si>
  <si>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</si>
  <si>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</si>
  <si>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</si>
  <si>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</si>
  <si>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</si>
  <si>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</si>
  <si>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</si>
  <si>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</si>
  <si>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</si>
  <si>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</si>
  <si>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</si>
  <si>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</si>
  <si>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</si>
  <si>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</si>
  <si>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</si>
  <si>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</si>
  <si>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</si>
  <si>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</si>
  <si>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</si>
  <si>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</si>
  <si>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</si>
  <si>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</si>
  <si>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</si>
  <si>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</si>
  <si>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</si>
  <si>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</si>
  <si>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</si>
  <si>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</si>
  <si>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</si>
  <si>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</si>
  <si>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</si>
  <si>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</si>
  <si>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</si>
  <si>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</si>
  <si>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</si>
  <si>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</si>
  <si>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</si>
  <si>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</si>
  <si>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</si>
  <si>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</si>
  <si>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</si>
  <si>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</si>
  <si>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</si>
  <si>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</si>
  <si>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</si>
  <si>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</si>
  <si>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</si>
  <si>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</si>
  <si>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</si>
  <si>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</si>
  <si>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</si>
  <si>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</si>
  <si>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</si>
  <si>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</si>
  <si>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</si>
  <si>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</si>
  <si>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</si>
  <si>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</si>
  <si>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</si>
  <si>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</si>
  <si>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</si>
  <si>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</si>
  <si>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</si>
  <si>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</si>
  <si>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</si>
  <si>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</si>
  <si>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</si>
  <si>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</si>
  <si>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</si>
  <si>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</si>
  <si>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</si>
  <si>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</si>
  <si>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</si>
  <si>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</si>
  <si>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</si>
  <si>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</si>
  <si>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</si>
  <si>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</si>
  <si>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</si>
  <si>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</si>
  <si>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</si>
  <si>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</si>
  <si>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</si>
  <si>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</si>
  <si>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</si>
  <si>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</si>
  <si>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</si>
  <si>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</si>
  <si>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</si>
  <si>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</si>
  <si>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</si>
  <si>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</si>
  <si>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</si>
  <si>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</si>
  <si>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</si>
  <si>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</si>
  <si>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</si>
  <si>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</si>
  <si>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</si>
  <si>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</si>
  <si>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</si>
  <si>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</si>
  <si>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</si>
  <si>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</si>
  <si>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</si>
  <si>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</si>
  <si>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</si>
  <si>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</si>
  <si>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</si>
  <si>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</si>
  <si>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</si>
  <si>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</si>
  <si>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</si>
  <si>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</si>
  <si>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</si>
  <si>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</si>
  <si>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</si>
  <si>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</si>
  <si>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</si>
  <si>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</si>
  <si>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</si>
  <si>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</si>
  <si>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</si>
  <si>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</si>
  <si>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</si>
  <si>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</si>
  <si>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</si>
  <si>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</si>
  <si>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</si>
  <si>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</si>
  <si>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</si>
  <si>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</si>
  <si>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</si>
  <si>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</si>
  <si>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</si>
  <si>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</si>
  <si>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</si>
  <si>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</si>
  <si>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</si>
  <si>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</si>
  <si>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</si>
  <si>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</si>
  <si>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</si>
  <si>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</si>
  <si>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</si>
  <si>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</si>
  <si>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</si>
  <si>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</si>
  <si>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</si>
  <si>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</si>
  <si>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</si>
  <si>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</si>
  <si>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</si>
  <si>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</si>
  <si>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</si>
  <si>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</si>
  <si>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</si>
  <si>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</si>
  <si>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</si>
  <si>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</si>
  <si>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</si>
  <si>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</si>
  <si>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</si>
  <si>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</si>
  <si>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</si>
  <si>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</si>
  <si>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</si>
  <si>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</si>
  <si>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</si>
  <si>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</si>
  <si>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</si>
  <si>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</si>
  <si>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</si>
  <si>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</si>
  <si>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</si>
  <si>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</si>
  <si>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</si>
  <si>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</si>
  <si>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</si>
  <si>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</si>
  <si>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</si>
  <si>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</si>
  <si>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</si>
  <si>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</si>
  <si>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</si>
  <si>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</si>
  <si>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</si>
  <si>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</si>
  <si>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</si>
  <si>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</si>
  <si>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</si>
  <si>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</si>
  <si>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</si>
  <si>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</si>
  <si>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</si>
  <si>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</si>
  <si>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</si>
  <si>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</si>
  <si>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</si>
  <si>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</si>
  <si>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</si>
  <si>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</si>
  <si>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</si>
  <si>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</si>
  <si>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</si>
  <si>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</si>
  <si>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</si>
  <si>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</si>
  <si>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</si>
  <si>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</si>
  <si>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</si>
  <si>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</si>
  <si>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</si>
  <si>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</si>
  <si>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</si>
  <si>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</si>
  <si>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</si>
  <si>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</si>
  <si>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</si>
  <si>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</si>
  <si>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</si>
  <si>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</si>
  <si>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</si>
  <si>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</si>
  <si>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</si>
  <si>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</si>
  <si>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</si>
  <si>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</si>
  <si>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</si>
  <si>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</si>
  <si>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</si>
  <si>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</si>
  <si>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</si>
  <si>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</si>
  <si>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</si>
  <si>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</si>
  <si>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</si>
  <si>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</si>
  <si>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</si>
  <si>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</si>
  <si>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</si>
  <si>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</si>
  <si>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</si>
  <si>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</si>
  <si>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</si>
  <si>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</si>
  <si>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</si>
  <si>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</si>
  <si>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</si>
  <si>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</si>
  <si>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</si>
  <si>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</si>
  <si>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</si>
  <si>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</si>
  <si>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</si>
  <si>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</si>
  <si>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</si>
  <si>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</si>
  <si>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</si>
  <si>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</si>
  <si>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</si>
  <si>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</si>
  <si>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</si>
  <si>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</si>
  <si>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</si>
  <si>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</si>
  <si>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</si>
  <si>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</si>
  <si>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</si>
  <si>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</si>
  <si>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</si>
  <si>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</si>
  <si>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</si>
  <si>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</si>
  <si>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</si>
  <si>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</si>
  <si>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</si>
  <si>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</si>
  <si>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</si>
  <si>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</si>
  <si>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</si>
  <si>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</si>
  <si>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</si>
  <si>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</si>
  <si>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</si>
  <si>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</si>
  <si>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</si>
  <si>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</si>
  <si>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</si>
  <si>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</si>
  <si>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</si>
  <si>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</si>
  <si>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</si>
  <si>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</si>
  <si>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</si>
  <si>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</si>
  <si>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</si>
  <si>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</si>
  <si>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</si>
  <si>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</si>
  <si>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</si>
  <si>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</si>
  <si>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</si>
  <si>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</si>
  <si>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</si>
  <si>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</si>
  <si>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</si>
  <si>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</si>
  <si>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</si>
  <si>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</si>
  <si>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</si>
  <si>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</si>
  <si>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</si>
  <si>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</si>
  <si>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</si>
  <si>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</si>
  <si>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</si>
  <si>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</si>
  <si>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</si>
  <si>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</si>
  <si>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</si>
  <si>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</si>
  <si>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</si>
  <si>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</si>
  <si>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</si>
  <si>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</si>
  <si>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</si>
  <si>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</si>
  <si>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</si>
  <si>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</si>
  <si>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</si>
  <si>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</si>
  <si>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</si>
  <si>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</si>
  <si>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</si>
  <si>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</si>
  <si>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</si>
  <si>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</si>
  <si>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</si>
  <si>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</si>
  <si>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</si>
  <si>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</si>
  <si>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</si>
  <si>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</si>
  <si>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</si>
  <si>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</si>
  <si>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</si>
  <si>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</si>
  <si>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</si>
  <si>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</si>
  <si>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</si>
  <si>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</si>
  <si>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</si>
  <si>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</si>
  <si>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</si>
  <si>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</si>
  <si>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</si>
  <si>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</si>
  <si>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</si>
  <si>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</si>
  <si>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</si>
  <si>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</si>
  <si>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</si>
  <si>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</si>
  <si>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</si>
  <si>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</si>
  <si>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</si>
  <si>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</si>
  <si>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</si>
  <si>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</si>
  <si>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</si>
  <si>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</si>
  <si>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</si>
  <si>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</si>
  <si>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</si>
  <si>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</si>
  <si>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</si>
  <si>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</si>
  <si>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</si>
  <si>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</si>
  <si>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</si>
  <si>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</si>
  <si>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</si>
  <si>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</si>
  <si>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</si>
  <si>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</si>
  <si>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</si>
  <si>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</si>
  <si>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</si>
  <si>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</si>
  <si>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</si>
  <si>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</si>
  <si>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</si>
  <si>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</si>
  <si>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</si>
  <si>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</si>
  <si>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</si>
  <si>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</si>
  <si>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</si>
  <si>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</si>
  <si>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</si>
  <si>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</si>
  <si>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</si>
  <si>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</si>
  <si>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</si>
  <si>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</si>
  <si>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</si>
  <si>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</si>
  <si>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</si>
  <si>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</si>
  <si>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</si>
  <si>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</si>
  <si>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</si>
  <si>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</si>
  <si>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</si>
  <si>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</si>
  <si>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</si>
  <si>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</si>
  <si>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</si>
  <si>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</si>
  <si>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</si>
  <si>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</si>
  <si>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</si>
  <si>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</si>
  <si>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</si>
  <si>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</si>
  <si>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</si>
  <si>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</si>
  <si>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</si>
  <si>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</si>
  <si>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</si>
  <si>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</si>
  <si>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</si>
  <si>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</si>
  <si>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</si>
  <si>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</si>
  <si>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</si>
  <si>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</si>
  <si>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</si>
  <si>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</si>
  <si>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</si>
  <si>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</si>
  <si>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</si>
  <si>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</si>
  <si>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</si>
  <si>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</si>
  <si>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</si>
  <si>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</si>
  <si>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</si>
  <si>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</si>
  <si>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</si>
  <si>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</si>
  <si>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</si>
  <si>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</si>
  <si>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</si>
  <si>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</si>
  <si>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</si>
  <si>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</si>
  <si>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</si>
  <si>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</si>
  <si>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</si>
  <si>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</si>
  <si>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</si>
  <si>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</si>
  <si>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</si>
  <si>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</si>
  <si>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</si>
  <si>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</si>
  <si>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</si>
  <si>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</si>
  <si>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</si>
  <si>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</si>
  <si>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</si>
  <si>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</si>
  <si>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</si>
  <si>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</si>
  <si>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</si>
  <si>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</si>
  <si>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</si>
  <si>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</si>
  <si>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</si>
  <si>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</si>
  <si>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</si>
  <si>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</si>
  <si>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</si>
  <si>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</si>
  <si>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</si>
  <si>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</si>
  <si>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</si>
  <si>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</si>
  <si>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</si>
  <si>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</si>
  <si>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</si>
  <si>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</si>
  <si>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</si>
  <si>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</si>
  <si>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</si>
  <si>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</si>
  <si>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</si>
  <si>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</si>
  <si>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</si>
  <si>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</si>
  <si>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</si>
  <si>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</si>
  <si>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</si>
  <si>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</si>
  <si>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</si>
  <si>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</si>
  <si>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</si>
  <si>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</si>
  <si>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</si>
  <si>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</si>
  <si>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</si>
  <si>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</si>
  <si>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</si>
  <si>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</si>
  <si>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</si>
  <si>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</si>
  <si>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</si>
  <si>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</si>
  <si>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</si>
  <si>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</si>
  <si>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</si>
  <si>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</si>
  <si>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</si>
  <si>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</si>
  <si>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</si>
  <si>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</si>
  <si>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</si>
  <si>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</si>
  <si>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</si>
  <si>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</si>
  <si>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</si>
  <si>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</si>
  <si>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</si>
  <si>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</si>
  <si>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</si>
  <si>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</si>
  <si>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</si>
  <si>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</si>
  <si>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</si>
  <si>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</si>
  <si>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</si>
  <si>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</si>
  <si>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</si>
  <si>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</si>
  <si>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</si>
  <si>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</si>
  <si>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</si>
  <si>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</si>
  <si>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</si>
  <si>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</si>
  <si>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</si>
  <si>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</si>
  <si>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</si>
  <si>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</si>
  <si>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</si>
  <si>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</si>
  <si>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</si>
  <si>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</si>
  <si>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</si>
  <si>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</si>
  <si>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</si>
  <si>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</si>
  <si>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</si>
  <si>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</si>
  <si>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</si>
  <si>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</si>
  <si>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</si>
  <si>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</si>
  <si>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</si>
  <si>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</si>
  <si>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</si>
  <si>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</si>
  <si>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</si>
  <si>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</si>
  <si>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</si>
  <si>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</si>
  <si>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</si>
  <si>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</si>
  <si>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</si>
  <si>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</si>
  <si>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</si>
  <si>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</si>
  <si>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</si>
  <si>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</si>
  <si>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</si>
  <si>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</si>
  <si>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</si>
  <si>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</si>
  <si>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</si>
  <si>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</si>
  <si>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</si>
  <si>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</si>
  <si>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</si>
  <si>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</si>
  <si>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</si>
  <si>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</si>
  <si>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</si>
  <si>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</si>
  <si>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</si>
  <si>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</si>
  <si>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</si>
  <si>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</si>
  <si>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</si>
  <si>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</si>
  <si>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</si>
  <si>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</si>
  <si>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</si>
  <si>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</si>
  <si>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</si>
  <si>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</si>
  <si>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</si>
  <si>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</si>
  <si>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</si>
  <si>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</si>
  <si>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</si>
  <si>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</si>
  <si>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</si>
  <si>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</si>
  <si>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</si>
  <si>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</si>
  <si>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</si>
  <si>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</si>
  <si>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</si>
  <si>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</si>
  <si>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</si>
  <si>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</si>
  <si>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</si>
  <si>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</si>
  <si>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</si>
  <si>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</si>
  <si>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</si>
  <si>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</si>
  <si>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</si>
  <si>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</si>
  <si>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</si>
  <si>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</si>
  <si>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</si>
  <si>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</si>
  <si>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</si>
  <si>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</si>
  <si>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</si>
  <si>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</si>
  <si>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</si>
  <si>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</si>
  <si>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</si>
  <si>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</si>
  <si>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</si>
  <si>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</si>
  <si>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</si>
  <si>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</si>
  <si>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</si>
  <si>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</si>
  <si>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</si>
  <si>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</si>
  <si>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</si>
  <si>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</si>
  <si>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</si>
  <si>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</si>
  <si>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</si>
  <si>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</si>
  <si>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</si>
  <si>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</si>
  <si>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</si>
  <si>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</si>
  <si>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</si>
  <si>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</si>
  <si>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</si>
  <si>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</si>
  <si>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</si>
  <si>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</si>
  <si>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</si>
  <si>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</si>
  <si>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</si>
  <si>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</si>
  <si>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</si>
  <si>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</si>
  <si>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</si>
  <si>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</si>
  <si>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</si>
  <si>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</si>
  <si>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</si>
  <si>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</si>
  <si>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</si>
  <si>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</si>
  <si>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</si>
  <si>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</si>
  <si>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</si>
  <si>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</si>
  <si>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</si>
  <si>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</si>
  <si>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</si>
  <si>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</si>
  <si>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</si>
  <si>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</si>
  <si>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</si>
  <si>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</si>
  <si>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</si>
  <si>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</si>
  <si>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</si>
  <si>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</si>
  <si>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</si>
  <si>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</si>
  <si>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</si>
  <si>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</si>
  <si>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</si>
  <si>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</si>
  <si>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</si>
  <si>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</si>
  <si>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</si>
  <si>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</si>
  <si>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</si>
  <si>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</si>
  <si>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</si>
  <si>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</si>
  <si>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</si>
  <si>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</si>
  <si>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</si>
  <si>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</si>
  <si>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</si>
  <si>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</si>
  <si>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</si>
  <si>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</si>
  <si>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</si>
  <si>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</si>
  <si>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</si>
  <si>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</si>
  <si>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</si>
  <si>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</si>
  <si>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</si>
  <si>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</si>
  <si>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</si>
  <si>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</si>
  <si>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</si>
  <si>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</si>
  <si>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</si>
  <si>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</si>
  <si>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</si>
  <si>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</si>
  <si>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</si>
  <si>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</si>
  <si>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</si>
  <si>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</si>
  <si>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</si>
  <si>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</si>
  <si>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</si>
  <si>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</si>
  <si>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</si>
  <si>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</si>
  <si>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</si>
  <si>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</si>
  <si>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</si>
  <si>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</si>
  <si>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</si>
  <si>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</si>
  <si>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</si>
  <si>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</si>
  <si>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</si>
  <si>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</si>
  <si>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</si>
  <si>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</si>
  <si>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</si>
  <si>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</si>
  <si>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</si>
  <si>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</si>
  <si>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</si>
  <si>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</si>
  <si>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</si>
  <si>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</si>
  <si>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</si>
  <si>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</si>
  <si>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</si>
  <si>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</si>
  <si>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</si>
  <si>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</si>
  <si>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</si>
  <si>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</si>
  <si>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</si>
  <si>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</si>
  <si>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</si>
  <si>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</si>
  <si>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</si>
  <si>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</si>
  <si>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</si>
  <si>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</si>
  <si>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</si>
  <si>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</si>
  <si>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</si>
  <si>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</si>
  <si>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</si>
  <si>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</si>
  <si>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</si>
  <si>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</si>
  <si>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</si>
  <si>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</si>
  <si>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</si>
  <si>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</si>
  <si>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</si>
  <si>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</si>
  <si>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</si>
  <si>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</si>
  <si>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</si>
  <si>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</si>
  <si>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</si>
  <si>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</si>
  <si>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</si>
  <si>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</si>
  <si>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</si>
  <si>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</si>
  <si>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</si>
  <si>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</si>
  <si>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</si>
  <si>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</si>
  <si>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</si>
  <si>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</si>
  <si>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</si>
  <si>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</si>
  <si>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</si>
  <si>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</si>
  <si>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</si>
  <si>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</si>
  <si>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</si>
  <si>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</si>
  <si>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</si>
  <si>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</si>
  <si>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</si>
  <si>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</si>
  <si>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</si>
  <si>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</si>
  <si>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</si>
  <si>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</si>
  <si>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</si>
  <si>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</si>
  <si>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</si>
  <si>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</si>
  <si>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</si>
  <si>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</si>
  <si>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</si>
  <si>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</si>
  <si>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</si>
  <si>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</si>
  <si>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</si>
  <si>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</si>
  <si>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</si>
  <si>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</si>
  <si>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</si>
  <si>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</si>
  <si>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</si>
  <si>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</si>
  <si>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</si>
  <si>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</si>
  <si>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</si>
  <si>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</si>
  <si>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</si>
  <si>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</si>
  <si>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</si>
  <si>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</si>
  <si>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</si>
  <si>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</si>
  <si>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</si>
  <si>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</si>
  <si>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</si>
  <si>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</si>
  <si>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</si>
  <si>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</si>
  <si>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</si>
  <si>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</si>
  <si>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</si>
  <si>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</si>
  <si>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</si>
  <si>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</si>
  <si>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</si>
  <si>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</si>
  <si>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</si>
  <si>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</si>
  <si>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</si>
  <si>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</si>
  <si>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</si>
  <si>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</si>
  <si>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</si>
  <si>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</si>
  <si>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</si>
  <si>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</si>
  <si>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</si>
  <si>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</si>
  <si>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</si>
  <si>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</si>
  <si>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</si>
  <si>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</si>
  <si>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</si>
  <si>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</si>
  <si>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</si>
  <si>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</si>
  <si>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</si>
  <si>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</si>
  <si>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</si>
  <si>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</si>
  <si>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</si>
  <si>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</si>
  <si>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</si>
  <si>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</si>
  <si>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</si>
  <si>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</si>
  <si>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</si>
  <si>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</si>
  <si>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</si>
  <si>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</si>
  <si>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</si>
  <si>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</si>
  <si>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</si>
  <si>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</si>
  <si>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</si>
  <si>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</si>
  <si>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</si>
  <si>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</si>
  <si>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</si>
  <si>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</si>
  <si>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</si>
  <si>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</si>
  <si>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</si>
  <si>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</si>
  <si>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</si>
  <si>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</si>
  <si>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</si>
  <si>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</si>
  <si>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</si>
  <si>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</si>
  <si>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</si>
  <si>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</si>
  <si>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</si>
  <si>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</si>
  <si>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</si>
  <si>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</si>
  <si>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</si>
  <si>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</si>
  <si>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</si>
  <si>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</si>
  <si>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</si>
  <si>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</si>
  <si>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</si>
  <si>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</si>
  <si>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</si>
  <si>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</si>
  <si>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</si>
  <si>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</si>
  <si>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</si>
  <si>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</si>
  <si>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</si>
  <si>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</si>
  <si>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</si>
  <si>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</si>
  <si>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</si>
  <si>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</si>
  <si>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</si>
  <si>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</si>
  <si>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</si>
  <si>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</si>
  <si>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</si>
  <si>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</si>
  <si>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</si>
  <si>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</si>
  <si>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</si>
  <si>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</si>
  <si>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</si>
  <si>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</si>
  <si>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</si>
  <si>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</si>
  <si>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</si>
  <si>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</si>
  <si>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</si>
  <si>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</si>
  <si>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</si>
  <si>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</si>
  <si>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</si>
  <si>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</si>
  <si>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</si>
  <si>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</si>
  <si>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</si>
  <si>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</si>
  <si>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</si>
  <si>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</si>
  <si>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</si>
  <si>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</si>
  <si>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</si>
  <si>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</si>
  <si>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</si>
  <si>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</si>
  <si>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</si>
  <si>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</si>
  <si>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</si>
  <si>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</si>
  <si>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</si>
  <si>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</si>
  <si>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</si>
  <si>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</si>
  <si>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</si>
  <si>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</si>
  <si>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</si>
  <si>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</si>
  <si>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</si>
  <si>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</si>
  <si>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</si>
  <si>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</si>
  <si>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</si>
  <si>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</si>
  <si>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</si>
  <si>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</si>
  <si>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</si>
  <si>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</si>
  <si>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</si>
  <si>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</si>
  <si>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</si>
  <si>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</si>
  <si>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</si>
  <si>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</si>
  <si>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</si>
  <si>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</si>
  <si>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</si>
  <si>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</si>
  <si>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</si>
  <si>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</si>
  <si>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</si>
  <si>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</si>
  <si>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</si>
  <si>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</si>
  <si>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</si>
  <si>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</si>
  <si>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</si>
  <si>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</si>
  <si>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</si>
  <si>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</si>
  <si>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</si>
  <si>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</si>
  <si>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</si>
  <si>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</si>
  <si>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</si>
  <si>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</si>
  <si>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</si>
  <si>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</si>
  <si>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</si>
  <si>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</si>
  <si>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</si>
  <si>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</si>
  <si>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</si>
  <si>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</si>
  <si>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</si>
  <si>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</si>
  <si>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</si>
  <si>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</si>
  <si>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</si>
  <si>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</si>
  <si>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</si>
  <si>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</si>
  <si>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</si>
  <si>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</si>
  <si>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</si>
  <si>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</si>
  <si>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</si>
  <si>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</si>
  <si>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</si>
  <si>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</si>
  <si>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</si>
  <si>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</si>
  <si>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</si>
  <si>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</si>
  <si>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</si>
  <si>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</si>
  <si>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</si>
  <si>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</si>
  <si>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</si>
  <si>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</si>
  <si>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</si>
  <si>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</si>
  <si>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</si>
  <si>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</si>
  <si>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</si>
  <si>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</si>
  <si>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</si>
  <si>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</si>
  <si>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</si>
  <si>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</si>
  <si>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</si>
  <si>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</si>
  <si>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</si>
  <si>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</si>
  <si>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</si>
  <si>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</si>
  <si>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</si>
  <si>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</si>
  <si>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</si>
  <si>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</si>
  <si>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</si>
  <si>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</si>
  <si>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</si>
  <si>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</si>
  <si>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</si>
  <si>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</si>
  <si>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</si>
  <si>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</si>
  <si>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</si>
  <si>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</si>
  <si>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</si>
  <si>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</si>
  <si>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</si>
  <si>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</si>
  <si>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</si>
  <si>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</si>
  <si>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</si>
  <si>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</si>
  <si>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</si>
  <si>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</si>
  <si>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</si>
  <si>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</si>
  <si>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</si>
  <si>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</si>
  <si>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</si>
  <si>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</si>
  <si>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</si>
  <si>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</si>
  <si>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</si>
  <si>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</si>
  <si>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</si>
  <si>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</si>
  <si>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</si>
  <si>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</si>
  <si>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</si>
  <si>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</si>
  <si>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</si>
  <si>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</si>
  <si>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</si>
  <si>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</si>
  <si>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</si>
  <si>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</si>
  <si>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</si>
  <si>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</si>
  <si>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</si>
  <si>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</si>
  <si>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</si>
  <si>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</si>
  <si>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</si>
  <si>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</si>
  <si>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</si>
  <si>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</si>
  <si>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</si>
  <si>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</si>
  <si>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</si>
  <si>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</si>
  <si>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</si>
  <si>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</si>
  <si>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</si>
  <si>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</si>
  <si>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</si>
  <si>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</si>
  <si>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</si>
  <si>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</si>
  <si>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</si>
  <si>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</si>
  <si>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</si>
  <si>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</si>
  <si>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</si>
  <si>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</si>
  <si>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</si>
  <si>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</si>
  <si>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</si>
  <si>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</si>
  <si>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</si>
  <si>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</si>
  <si>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</si>
  <si>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</si>
  <si>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</si>
  <si>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</si>
  <si>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</si>
  <si>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</si>
  <si>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</si>
  <si>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</si>
  <si>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</si>
  <si>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</si>
  <si>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</si>
  <si>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</si>
  <si>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</si>
  <si>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</si>
  <si>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</si>
  <si>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</si>
  <si>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</si>
  <si>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</si>
  <si>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</si>
  <si>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</si>
  <si>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</si>
  <si>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</si>
  <si>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</si>
  <si>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</si>
  <si>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</si>
  <si>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</si>
  <si>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</si>
  <si>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</si>
  <si>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</si>
  <si>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</si>
  <si>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</si>
  <si>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</si>
  <si>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</si>
  <si>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</si>
  <si>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</si>
  <si>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</si>
  <si>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</si>
  <si>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</si>
  <si>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</si>
  <si>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</si>
  <si>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</si>
  <si>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</si>
  <si>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</si>
  <si>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</si>
  <si>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</si>
  <si>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</si>
  <si>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</si>
  <si>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</si>
  <si>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</si>
  <si>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</si>
  <si>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</si>
  <si>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</si>
  <si>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</si>
  <si>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</si>
  <si>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</si>
  <si>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</si>
  <si>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</si>
  <si>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</si>
  <si>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</si>
  <si>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</si>
  <si>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</si>
  <si>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</si>
  <si>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</si>
  <si>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</si>
  <si>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</si>
  <si>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</si>
  <si>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</si>
  <si>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</si>
  <si>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</si>
  <si>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</si>
  <si>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</si>
  <si>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</si>
  <si>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</si>
  <si>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</si>
  <si>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</si>
  <si>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</si>
  <si>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</si>
  <si>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</si>
  <si>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</si>
  <si>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</si>
  <si>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</si>
  <si>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</si>
  <si>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</si>
  <si>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</si>
  <si>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</si>
  <si>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</si>
  <si>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</si>
  <si>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</si>
  <si>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</si>
  <si>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</si>
  <si>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</si>
  <si>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</si>
  <si>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</si>
  <si>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</si>
  <si>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</si>
  <si>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</si>
  <si>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</si>
  <si>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</si>
  <si>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</si>
  <si>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</si>
  <si>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</si>
  <si>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</si>
  <si>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</si>
  <si>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</si>
  <si>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</si>
  <si>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</si>
  <si>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</si>
  <si>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</si>
  <si>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</si>
  <si>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</si>
  <si>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</si>
  <si>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</si>
  <si>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</si>
  <si>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</si>
  <si>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</si>
  <si>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</si>
  <si>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</si>
  <si>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</si>
  <si>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</si>
  <si>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</si>
  <si>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</si>
  <si>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</si>
  <si>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</si>
  <si>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</si>
  <si>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</si>
  <si>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</si>
  <si>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</si>
  <si>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</si>
  <si>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</si>
  <si>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</si>
  <si>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</si>
  <si>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</si>
  <si>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</si>
  <si>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</si>
  <si>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</si>
  <si>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</si>
  <si>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</si>
  <si>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</si>
  <si>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</si>
  <si>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</si>
  <si>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</si>
  <si>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</si>
  <si>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</si>
  <si>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</si>
  <si>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</si>
  <si>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</si>
  <si>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</si>
  <si>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</si>
  <si>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</si>
  <si>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</si>
  <si>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</si>
  <si>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</si>
  <si>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</si>
  <si>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</si>
  <si>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</si>
  <si>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</si>
  <si>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</si>
  <si>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</si>
  <si>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</si>
  <si>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</si>
  <si>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</si>
  <si>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</si>
  <si>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</si>
  <si>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</si>
  <si>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</si>
  <si>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</si>
  <si>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</si>
  <si>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</si>
  <si>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</si>
  <si>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</si>
  <si>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</si>
  <si>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</si>
  <si>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</si>
  <si>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</si>
  <si>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</si>
  <si>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</si>
  <si>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</si>
  <si>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</si>
  <si>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</si>
  <si>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</si>
  <si>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</si>
  <si>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</si>
  <si>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</si>
  <si>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</si>
  <si>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</si>
  <si>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</si>
  <si>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</si>
  <si>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</si>
  <si>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</si>
  <si>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</si>
  <si>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</si>
  <si>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</si>
  <si>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</si>
  <si>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</si>
  <si>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</si>
  <si>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</si>
  <si>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</si>
  <si>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</si>
  <si>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</si>
  <si>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</si>
  <si>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</si>
  <si>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</si>
  <si>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</si>
  <si>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</si>
  <si>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</si>
  <si>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</si>
  <si>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</si>
  <si>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</si>
  <si>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</si>
  <si>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</si>
  <si>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</si>
  <si>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</si>
  <si>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</si>
  <si>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</si>
  <si>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</si>
  <si>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</si>
  <si>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</si>
  <si>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</si>
  <si>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</si>
  <si>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</si>
  <si>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</si>
  <si>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</si>
  <si>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</si>
  <si>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</si>
  <si>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</si>
  <si>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</si>
  <si>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</si>
  <si>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</si>
  <si>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</si>
  <si>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</si>
  <si>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</si>
  <si>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</si>
  <si>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</si>
  <si>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</si>
  <si>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</si>
  <si>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</si>
  <si>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</si>
  <si>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</si>
  <si>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</si>
  <si>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</si>
  <si>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</si>
  <si>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</si>
  <si>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</si>
  <si>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</si>
  <si>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</si>
  <si>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</si>
  <si>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</si>
  <si>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</si>
  <si>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</si>
  <si>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</si>
  <si>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</si>
  <si>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</si>
  <si>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</si>
  <si>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</si>
  <si>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</si>
  <si>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</si>
  <si>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</si>
  <si>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</si>
  <si>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</si>
  <si>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</si>
  <si>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</si>
  <si>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</si>
  <si>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</si>
  <si>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</si>
  <si>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</si>
  <si>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</si>
  <si>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</si>
  <si>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</si>
  <si>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</si>
  <si>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</si>
  <si>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</si>
  <si>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</si>
  <si>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</si>
  <si>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</si>
  <si>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</si>
  <si>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</si>
  <si>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</si>
  <si>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</si>
  <si>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</si>
  <si>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</si>
  <si>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</si>
  <si>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</si>
  <si>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</si>
  <si>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</si>
  <si>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</si>
  <si>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</si>
  <si>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</si>
  <si>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</si>
  <si>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</si>
  <si>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</si>
  <si>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</si>
  <si>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</si>
  <si>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</si>
  <si>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</si>
  <si>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</si>
  <si>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</si>
  <si>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</si>
  <si>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</si>
  <si>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</si>
  <si>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</si>
  <si>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</si>
  <si>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</si>
  <si>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</si>
  <si>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</si>
  <si>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</si>
  <si>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</si>
  <si>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</si>
  <si>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</si>
  <si>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</si>
  <si>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</si>
  <si>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</si>
  <si>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</si>
  <si>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</si>
  <si>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</si>
  <si>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</si>
  <si>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</si>
  <si>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</si>
  <si>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</si>
  <si>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</si>
  <si>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</si>
  <si>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</si>
  <si>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</si>
  <si>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</si>
  <si>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</si>
  <si>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</si>
  <si>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</si>
  <si>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</si>
  <si>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</si>
  <si>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</si>
  <si>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</si>
  <si>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</si>
  <si>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</si>
  <si>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</si>
  <si>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</si>
  <si>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</si>
  <si>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</si>
  <si>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</si>
  <si>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</si>
  <si>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</si>
  <si>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</si>
  <si>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</si>
  <si>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</si>
  <si>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</si>
  <si>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</si>
  <si>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</si>
  <si>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</si>
  <si>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</si>
  <si>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</si>
  <si>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</si>
  <si>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</si>
  <si>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</si>
  <si>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</si>
  <si>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</si>
  <si>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</si>
  <si>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</si>
  <si>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</si>
  <si>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</si>
  <si>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</si>
  <si>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</si>
  <si>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</si>
  <si>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</si>
  <si>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</si>
  <si>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</si>
  <si>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</si>
  <si>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</si>
  <si>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</si>
  <si>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</si>
  <si>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</si>
  <si>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</si>
  <si>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</si>
  <si>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</si>
  <si>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</si>
  <si>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</si>
  <si>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</si>
  <si>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</si>
  <si>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</si>
  <si>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</si>
  <si>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</si>
  <si>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</si>
  <si>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</si>
  <si>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</si>
  <si>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</si>
  <si>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</si>
  <si>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</si>
  <si>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</si>
  <si>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</si>
  <si>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</si>
  <si>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</si>
  <si>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</si>
  <si>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</si>
  <si>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</si>
  <si>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</si>
  <si>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</si>
  <si>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</si>
  <si>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</si>
  <si>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</si>
  <si>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</si>
  <si>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</si>
  <si>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</si>
  <si>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</si>
  <si>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</si>
  <si>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</si>
  <si>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</si>
  <si>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</si>
  <si>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</si>
  <si>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</si>
  <si>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</si>
  <si>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</si>
  <si>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</si>
  <si>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</si>
  <si>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</si>
  <si>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</si>
  <si>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</si>
  <si>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</si>
  <si>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</si>
  <si>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</si>
  <si>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</si>
  <si>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</si>
  <si>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</si>
  <si>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</si>
  <si>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</si>
  <si>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</si>
  <si>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</si>
  <si>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</si>
  <si>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</si>
  <si>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</si>
  <si>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</si>
  <si>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</si>
  <si>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</si>
  <si>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</si>
  <si>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</si>
  <si>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</si>
  <si>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</si>
  <si>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</si>
  <si>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</si>
  <si>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</si>
  <si>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</si>
  <si>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</si>
  <si>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</si>
  <si>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</si>
  <si>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</si>
  <si>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</si>
  <si>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</si>
  <si>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</si>
  <si>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</si>
  <si>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</si>
  <si>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</si>
  <si>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</si>
  <si>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</si>
  <si>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</si>
  <si>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</si>
  <si>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</si>
  <si>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</si>
  <si>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</si>
  <si>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</si>
  <si>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</si>
  <si>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</si>
  <si>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</si>
  <si>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</si>
  <si>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</si>
  <si>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</si>
  <si>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</si>
  <si>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</si>
  <si>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</si>
  <si>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</si>
  <si>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</si>
  <si>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</si>
  <si>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</si>
  <si>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</si>
  <si>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</si>
  <si>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</si>
  <si>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</si>
  <si>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</si>
  <si>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</si>
  <si>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</si>
  <si>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</si>
  <si>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</si>
  <si>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</si>
  <si>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</si>
  <si>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</si>
  <si>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</si>
  <si>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</si>
  <si>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</si>
  <si>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</si>
  <si>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</si>
  <si>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</si>
  <si>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</si>
  <si>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</si>
  <si>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</si>
  <si>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</si>
  <si>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</si>
  <si>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</si>
  <si>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</si>
  <si>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</si>
  <si>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</si>
  <si>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</si>
  <si>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</si>
  <si>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</si>
  <si>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</si>
  <si>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</si>
  <si>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</si>
  <si>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</si>
  <si>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</si>
  <si>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</si>
  <si>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</si>
  <si>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</si>
  <si>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</si>
  <si>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</si>
  <si>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</si>
  <si>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</si>
  <si>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</si>
  <si>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</si>
  <si>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</si>
  <si>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</si>
  <si>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</si>
  <si>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</si>
  <si>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</si>
  <si>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</si>
  <si>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</si>
  <si>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</si>
  <si>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</si>
  <si>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</si>
  <si>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</si>
  <si>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</si>
  <si>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</si>
  <si>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</si>
  <si>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</si>
  <si>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</si>
  <si>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</si>
  <si>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</si>
  <si>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</si>
  <si>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</si>
  <si>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</si>
  <si>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</si>
  <si>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</si>
  <si>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</si>
  <si>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</si>
  <si>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</si>
  <si>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</si>
  <si>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</si>
  <si>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</si>
  <si>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</si>
  <si>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</si>
  <si>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</si>
  <si>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</si>
  <si>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</si>
  <si>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</si>
  <si>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</si>
  <si>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</si>
  <si>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</si>
  <si>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</si>
  <si>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</si>
  <si>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</si>
  <si>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</si>
  <si>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</si>
  <si>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</si>
  <si>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</si>
  <si>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</si>
  <si>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</si>
  <si>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</si>
  <si>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</si>
  <si>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</si>
  <si>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</si>
  <si>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</si>
  <si>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</si>
  <si>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</si>
  <si>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</si>
  <si>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</si>
  <si>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</si>
  <si>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</si>
  <si>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</si>
  <si>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</si>
  <si>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</si>
  <si>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</si>
  <si>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</si>
  <si>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</si>
  <si>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</si>
  <si>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</si>
  <si>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</si>
  <si>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</si>
  <si>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</si>
  <si>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</si>
  <si>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</si>
  <si>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</si>
  <si>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</si>
  <si>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</si>
  <si>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</si>
  <si>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</si>
  <si>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</si>
  <si>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</si>
  <si>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</si>
  <si>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</si>
  <si>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</si>
  <si>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</si>
  <si>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</si>
  <si>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</si>
  <si>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</si>
  <si>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</si>
  <si>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</si>
  <si>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</si>
  <si>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</si>
  <si>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</si>
  <si>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</si>
  <si>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</si>
  <si>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</si>
  <si>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</si>
  <si>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</si>
  <si>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</si>
  <si>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</si>
  <si>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</si>
  <si>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</si>
  <si>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</si>
  <si>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</si>
  <si>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</si>
  <si>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</si>
  <si>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</si>
  <si>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</si>
  <si>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</si>
  <si>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</si>
  <si>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</si>
  <si>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</si>
  <si>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</si>
  <si>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</si>
  <si>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</si>
  <si>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</si>
  <si>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</si>
  <si>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</si>
  <si>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</si>
  <si>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</si>
  <si>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</si>
  <si>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</si>
  <si>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</si>
  <si>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</si>
  <si>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</si>
  <si>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</si>
  <si>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</si>
  <si>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</si>
  <si>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</si>
  <si>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</si>
  <si>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</si>
  <si>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</si>
  <si>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</si>
  <si>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</si>
  <si>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</si>
  <si>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</si>
  <si>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</si>
  <si>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</si>
  <si>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</si>
  <si>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</si>
  <si>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</si>
  <si>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</si>
  <si>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</si>
  <si>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</si>
  <si>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</si>
  <si>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</si>
  <si>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</si>
  <si>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</si>
  <si>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</si>
  <si>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</si>
  <si>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</si>
  <si>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</si>
  <si>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</si>
  <si>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</si>
  <si>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</si>
  <si>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</si>
  <si>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</si>
  <si>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</si>
  <si>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</si>
  <si>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</si>
  <si>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</si>
  <si>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</si>
  <si>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</si>
  <si>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</si>
  <si>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</si>
  <si>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</si>
  <si>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</si>
  <si>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</si>
  <si>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</si>
  <si>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</si>
  <si>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</si>
  <si>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</si>
  <si>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</si>
  <si>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</si>
  <si>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</si>
  <si>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</si>
  <si>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</si>
  <si>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</si>
  <si>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</si>
  <si>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</si>
  <si>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</si>
  <si>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</si>
  <si>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</si>
  <si>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</si>
  <si>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</si>
  <si>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</si>
  <si>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</si>
  <si>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</si>
  <si>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</si>
  <si>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</si>
  <si>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</si>
  <si>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</si>
  <si>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</si>
  <si>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</si>
  <si>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</si>
  <si>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</si>
  <si>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</si>
  <si>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</si>
  <si>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</si>
  <si>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</si>
  <si>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</si>
  <si>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</si>
  <si>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</si>
  <si>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</si>
  <si>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</si>
  <si>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</si>
  <si>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</si>
  <si>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</si>
  <si>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</si>
  <si>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</si>
  <si>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</si>
  <si>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</si>
  <si>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</si>
  <si>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</si>
  <si>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</si>
  <si>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</si>
  <si>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</si>
  <si>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</si>
  <si>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</si>
  <si>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</si>
  <si>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</si>
  <si>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</si>
  <si>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</si>
  <si>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</si>
  <si>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</si>
  <si>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</si>
  <si>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</si>
  <si>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</si>
  <si>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</si>
  <si>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</si>
  <si>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</si>
  <si>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</si>
  <si>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</si>
  <si>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</si>
  <si>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</si>
  <si>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</si>
  <si>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</si>
  <si>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</si>
  <si>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</si>
  <si>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</si>
  <si>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</si>
  <si>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</si>
  <si>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</si>
  <si>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</si>
  <si>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</si>
  <si>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</si>
  <si>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</si>
  <si>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</si>
  <si>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</si>
  <si>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</si>
  <si>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</si>
  <si>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</si>
  <si>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</si>
  <si>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</si>
  <si>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</si>
  <si>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</si>
  <si>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</si>
  <si>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</si>
  <si>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</si>
  <si>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</si>
  <si>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</si>
  <si>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</si>
  <si>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</si>
  <si>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</si>
  <si>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</si>
  <si>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</si>
  <si>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</si>
  <si>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</si>
  <si>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</si>
  <si>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</si>
  <si>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</si>
  <si>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</si>
  <si>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</si>
  <si>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</si>
  <si>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</si>
  <si>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</si>
  <si>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</si>
  <si>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</si>
  <si>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</si>
  <si>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</si>
  <si>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</si>
  <si>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</si>
  <si>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</si>
  <si>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</si>
  <si>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</si>
  <si>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</si>
  <si>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</si>
  <si>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</si>
  <si>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</si>
  <si>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</si>
  <si>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</si>
  <si>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</si>
  <si>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</si>
  <si>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</si>
  <si>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</si>
  <si>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</si>
  <si>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</si>
  <si>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</si>
  <si>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</si>
  <si>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</si>
  <si>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</si>
  <si>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</si>
  <si>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</si>
  <si>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</si>
  <si>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</si>
  <si>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</si>
  <si>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</si>
  <si>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</si>
  <si>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</si>
  <si>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</si>
  <si>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</si>
  <si>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</si>
  <si>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</si>
  <si>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</si>
  <si>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</si>
  <si>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</si>
  <si>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</si>
  <si>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</si>
  <si>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</si>
  <si>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</si>
  <si>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</si>
  <si>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</si>
  <si>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</si>
  <si>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</si>
  <si>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</si>
  <si>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</si>
  <si>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</si>
  <si>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</si>
  <si>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</si>
  <si>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</si>
  <si>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</si>
  <si>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</si>
  <si>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</si>
  <si>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</si>
  <si>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</si>
  <si>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</si>
  <si>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</si>
  <si>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</si>
  <si>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</si>
  <si>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</si>
  <si>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</si>
  <si>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</si>
  <si>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</si>
  <si>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</si>
  <si>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</si>
  <si>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</si>
  <si>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</si>
  <si>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</si>
  <si>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</si>
  <si>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</si>
  <si>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</si>
  <si>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</si>
  <si>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</si>
  <si>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</si>
  <si>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</si>
  <si>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</si>
  <si>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</si>
  <si>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</si>
  <si>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</si>
  <si>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</si>
  <si>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</si>
  <si>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</si>
  <si>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</si>
  <si>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</si>
  <si>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</si>
  <si>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</si>
  <si>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</si>
  <si>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</si>
  <si>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</si>
  <si>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</si>
  <si>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</si>
  <si>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</si>
  <si>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</si>
  <si>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</si>
  <si>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</si>
  <si>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</si>
  <si>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</si>
  <si>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</si>
  <si>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</si>
  <si>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</si>
  <si>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</si>
  <si>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</si>
  <si>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</si>
  <si>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</si>
  <si>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</si>
  <si>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</si>
  <si>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</si>
  <si>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</si>
  <si>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</si>
  <si>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</si>
  <si>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</si>
  <si>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</si>
  <si>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</si>
  <si>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</si>
  <si>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</si>
  <si>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</si>
  <si>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</si>
  <si>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</si>
  <si>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</si>
  <si>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</si>
  <si>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</si>
  <si>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</si>
  <si>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</si>
  <si>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</si>
  <si>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</si>
  <si>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</si>
  <si>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</si>
  <si>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</si>
  <si>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</si>
  <si>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</si>
  <si>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</si>
  <si>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</si>
  <si>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</si>
  <si>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</si>
  <si>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</si>
  <si>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</si>
  <si>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</si>
  <si>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</si>
  <si>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</si>
  <si>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</si>
  <si>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</si>
  <si>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</si>
  <si>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</si>
  <si>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</si>
  <si>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</si>
  <si>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</si>
  <si>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</si>
  <si>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</si>
  <si>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</si>
  <si>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</si>
  <si>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</si>
  <si>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</si>
  <si>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</si>
  <si>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</si>
  <si>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</si>
  <si>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</si>
  <si>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</si>
  <si>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</si>
  <si>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</si>
  <si>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</si>
  <si>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</si>
  <si>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</si>
  <si>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</si>
  <si>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</si>
  <si>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</si>
  <si>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</si>
  <si>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</si>
  <si>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</si>
  <si>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</si>
  <si>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</si>
  <si>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</si>
  <si>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</si>
  <si>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</si>
  <si>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</si>
  <si>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</si>
  <si>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</si>
  <si>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</si>
  <si>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</si>
  <si>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</si>
  <si>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</si>
  <si>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</si>
  <si>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</si>
  <si>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</si>
  <si>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</si>
  <si>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</si>
  <si>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</si>
  <si>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</si>
  <si>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</si>
  <si>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</si>
  <si>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</si>
  <si>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</si>
  <si>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</si>
  <si>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</si>
  <si>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</si>
  <si>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</si>
  <si>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</si>
  <si>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</si>
  <si>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</si>
  <si>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</si>
  <si>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</si>
  <si>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</si>
  <si>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</si>
  <si>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</si>
  <si>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</si>
  <si>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</si>
  <si>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</si>
  <si>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</si>
  <si>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</si>
  <si>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</si>
  <si>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</si>
  <si>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</si>
  <si>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</si>
  <si>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</si>
  <si>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</si>
  <si>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</si>
  <si>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</si>
  <si>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</si>
  <si>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</si>
  <si>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</si>
  <si>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</si>
  <si>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</si>
  <si>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</si>
  <si>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</si>
  <si>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</si>
  <si>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</si>
  <si>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</si>
  <si>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</si>
  <si>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</si>
  <si>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</si>
  <si>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</si>
  <si>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</si>
  <si>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</si>
  <si>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</si>
  <si>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</si>
  <si>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</si>
  <si>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</si>
  <si>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</si>
  <si>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</si>
  <si>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</si>
  <si>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</si>
  <si>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</si>
  <si>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</si>
  <si>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</si>
  <si>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</si>
  <si>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</si>
  <si>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</si>
  <si>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</si>
  <si>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</si>
  <si>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</si>
  <si>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</si>
  <si>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</si>
  <si>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</si>
  <si>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</si>
  <si>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</si>
  <si>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</si>
  <si>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</si>
  <si>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</si>
  <si>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</si>
  <si>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</si>
  <si>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</si>
  <si>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</si>
  <si>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</si>
  <si>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</si>
  <si>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</si>
  <si>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</si>
  <si>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</si>
  <si>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</si>
  <si>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</si>
  <si>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</si>
  <si>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</si>
  <si>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</si>
  <si>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</si>
  <si>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</si>
  <si>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</si>
  <si>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</si>
  <si>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</si>
  <si>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</si>
  <si>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</si>
  <si>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</si>
  <si>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</si>
  <si>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</si>
  <si>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</si>
  <si>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</si>
  <si>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</si>
  <si>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</si>
  <si>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</si>
  <si>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</si>
  <si>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</si>
  <si>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</si>
  <si>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</si>
  <si>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</si>
  <si>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</si>
  <si>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</si>
  <si>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</si>
  <si>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</si>
  <si>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</si>
  <si>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</si>
  <si>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</si>
  <si>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</si>
  <si>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</si>
  <si>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</si>
  <si>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</si>
  <si>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</si>
  <si>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</si>
  <si>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</si>
  <si>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</si>
  <si>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</si>
  <si>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</si>
  <si>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</si>
  <si>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</si>
  <si>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</si>
  <si>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</si>
  <si>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</si>
  <si>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</si>
  <si>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</si>
  <si>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</si>
  <si>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</si>
  <si>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</si>
  <si>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</si>
  <si>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</si>
  <si>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</si>
  <si>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</si>
  <si>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</si>
  <si>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</si>
  <si>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</si>
  <si>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</si>
  <si>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</si>
  <si>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</si>
  <si>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</si>
  <si>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</si>
  <si>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</si>
  <si>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</si>
  <si>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</si>
  <si>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</si>
  <si>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</si>
  <si>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</si>
  <si>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</si>
  <si>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</si>
  <si>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</si>
  <si>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</si>
  <si>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</si>
  <si>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</si>
  <si>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</si>
  <si>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</si>
  <si>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</si>
  <si>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</si>
  <si>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</si>
  <si>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</si>
  <si>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</si>
  <si>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</si>
  <si>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</si>
  <si>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</si>
  <si>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</si>
  <si>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</si>
  <si>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</si>
  <si>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</si>
  <si>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</si>
  <si>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</si>
  <si>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</si>
  <si>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</si>
  <si>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</si>
  <si>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</si>
  <si>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</si>
  <si>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</si>
  <si>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</si>
  <si>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</si>
  <si>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</si>
  <si>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</si>
  <si>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</si>
  <si>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</si>
  <si>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</si>
  <si>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</si>
  <si>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</si>
  <si>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</si>
  <si>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</si>
  <si>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</si>
  <si>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</si>
  <si>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</si>
  <si>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</si>
  <si>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</si>
  <si>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</si>
  <si>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</si>
  <si>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</si>
  <si>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</si>
  <si>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</si>
  <si>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</si>
  <si>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</si>
  <si>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</si>
  <si>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</si>
  <si>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</si>
  <si>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</si>
  <si>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</si>
  <si>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</si>
  <si>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</si>
  <si>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</si>
  <si>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</si>
  <si>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</si>
  <si>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</si>
  <si>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</si>
  <si>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</si>
  <si>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</si>
  <si>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</si>
  <si>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</si>
  <si>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</si>
  <si>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</si>
  <si>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</si>
  <si>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</si>
  <si>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</si>
  <si>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</si>
  <si>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</si>
  <si>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</si>
  <si>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</si>
  <si>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</si>
  <si>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</si>
  <si>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</si>
  <si>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</si>
  <si>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</si>
  <si>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</si>
  <si>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</si>
  <si>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</si>
  <si>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</si>
  <si>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</si>
  <si>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</si>
  <si>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</si>
  <si>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</si>
  <si>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</si>
  <si>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</si>
  <si>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</si>
  <si>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</si>
  <si>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</si>
  <si>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</si>
  <si>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</si>
  <si>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</si>
  <si>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</si>
  <si>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</si>
  <si>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</si>
  <si>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</si>
  <si>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</si>
  <si>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</si>
  <si>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</si>
  <si>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</si>
  <si>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</si>
  <si>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</si>
  <si>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</si>
  <si>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</si>
  <si>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</si>
  <si>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</si>
  <si>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</si>
  <si>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</si>
  <si>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</si>
  <si>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</si>
  <si>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</si>
  <si>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</si>
  <si>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</si>
  <si>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</si>
  <si>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</si>
  <si>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</si>
  <si>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</si>
  <si>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</si>
  <si>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</si>
  <si>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</si>
  <si>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</si>
  <si>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</si>
  <si>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</si>
  <si>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</si>
  <si>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</si>
  <si>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</si>
  <si>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</si>
  <si>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</si>
  <si>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</si>
  <si>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</si>
  <si>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</si>
  <si>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</si>
  <si>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</si>
  <si>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</si>
  <si>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</si>
  <si>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</si>
  <si>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</si>
  <si>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</si>
  <si>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</si>
  <si>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</si>
  <si>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</si>
  <si>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</si>
  <si>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</si>
  <si>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</si>
  <si>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</si>
  <si>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</si>
  <si>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</si>
  <si>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</si>
  <si>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</si>
  <si>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</si>
  <si>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</si>
  <si>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</si>
  <si>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</si>
  <si>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</si>
  <si>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</si>
  <si>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</si>
  <si>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</si>
  <si>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</si>
  <si>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</si>
  <si>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</si>
  <si>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</si>
  <si>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</si>
  <si>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</si>
  <si>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</si>
  <si>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</si>
  <si>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</si>
  <si>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</si>
  <si>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</si>
  <si>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</si>
  <si>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</si>
  <si>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</si>
  <si>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</si>
  <si>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</si>
  <si>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</si>
  <si>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</si>
  <si>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</si>
  <si>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</si>
  <si>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</si>
  <si>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</si>
  <si>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</si>
  <si>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</si>
  <si>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</si>
  <si>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</si>
  <si>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</si>
  <si>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</si>
  <si>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</si>
  <si>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</si>
  <si>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</si>
  <si>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</si>
  <si>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</si>
  <si>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</si>
  <si>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</si>
  <si>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</si>
  <si>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</si>
  <si>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</si>
  <si>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</si>
  <si>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</si>
  <si>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</si>
  <si>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</si>
  <si>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</si>
  <si>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</si>
  <si>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</si>
  <si>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</si>
  <si>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</si>
  <si>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</si>
  <si>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</si>
  <si>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</si>
  <si>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</si>
  <si>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</si>
  <si>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</si>
  <si>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</si>
  <si>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</si>
  <si>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</si>
  <si>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</si>
  <si>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</si>
  <si>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</si>
  <si>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</si>
  <si>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</si>
  <si>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</si>
  <si>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</si>
  <si>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</si>
  <si>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</si>
  <si>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</si>
  <si>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</si>
  <si>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</si>
  <si>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</si>
  <si>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</si>
  <si>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</si>
  <si>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</si>
  <si>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</si>
  <si>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</si>
  <si>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</si>
  <si>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</si>
  <si>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</si>
  <si>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</si>
  <si>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</si>
  <si>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</si>
  <si>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</si>
  <si>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</si>
  <si>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</si>
  <si>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</si>
  <si>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</si>
  <si>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</si>
  <si>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</si>
  <si>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</si>
  <si>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</si>
  <si>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</si>
  <si>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</si>
  <si>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</si>
  <si>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</si>
  <si>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</si>
  <si>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</si>
  <si>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</si>
  <si>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</si>
  <si>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</si>
  <si>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</si>
  <si>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</si>
  <si>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</si>
  <si>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</si>
  <si>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</si>
  <si>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</si>
  <si>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</si>
  <si>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</si>
  <si>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</si>
  <si>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</si>
  <si>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</si>
  <si>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</si>
  <si>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</si>
  <si>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</si>
  <si>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</si>
  <si>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</si>
  <si>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</si>
  <si>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</si>
  <si>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</si>
  <si>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</si>
  <si>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</si>
  <si>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</si>
  <si>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</si>
  <si>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</si>
  <si>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</si>
  <si>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</si>
  <si>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</si>
  <si>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</si>
  <si>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</si>
  <si>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</si>
  <si>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</si>
  <si>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</si>
  <si>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</si>
  <si>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</si>
  <si>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</si>
  <si>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</si>
  <si>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</si>
  <si>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</si>
  <si>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</si>
  <si>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</si>
  <si>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</si>
  <si>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</si>
  <si>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</si>
  <si>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</si>
  <si>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</si>
  <si>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</si>
  <si>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</si>
  <si>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</si>
  <si>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</si>
  <si>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</si>
  <si>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</si>
  <si>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</si>
  <si>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</si>
  <si>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</si>
  <si>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</si>
  <si>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</si>
  <si>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</si>
  <si>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</si>
  <si>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</si>
  <si>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</si>
  <si>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</si>
  <si>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</si>
  <si>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</si>
  <si>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</si>
  <si>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</si>
  <si>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</si>
  <si>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</si>
  <si>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</si>
  <si>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</si>
  <si>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</si>
  <si>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</si>
  <si>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</si>
  <si>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</si>
  <si>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</si>
  <si>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</si>
  <si>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</si>
  <si>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</si>
  <si>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</si>
  <si>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</si>
  <si>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</si>
  <si>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</si>
  <si>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</si>
  <si>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</si>
  <si>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</si>
  <si>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</si>
  <si>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</si>
  <si>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</si>
  <si>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</si>
  <si>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</si>
  <si>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</si>
  <si>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</si>
  <si>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</si>
  <si>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</si>
  <si>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</si>
  <si>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</si>
  <si>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</si>
  <si>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</si>
  <si>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</si>
  <si>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</si>
  <si>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</si>
  <si>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</si>
  <si>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</si>
  <si>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</si>
  <si>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</si>
  <si>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</si>
  <si>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</si>
  <si>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</si>
  <si>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</si>
  <si>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</si>
  <si>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</si>
  <si>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</si>
  <si>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</si>
  <si>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</si>
  <si>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</si>
  <si>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</si>
  <si>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</si>
  <si>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</si>
  <si>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</si>
  <si>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</si>
  <si>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</si>
  <si>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</si>
  <si>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</si>
  <si>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</si>
  <si>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</si>
  <si>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</si>
  <si>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</si>
  <si>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</si>
  <si>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</si>
  <si>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</si>
  <si>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</si>
  <si>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</si>
  <si>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</si>
  <si>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</si>
  <si>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</si>
  <si>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</si>
  <si>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</si>
  <si>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</si>
  <si>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</si>
  <si>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</si>
  <si>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</si>
  <si>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</si>
  <si>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</si>
  <si>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</si>
  <si>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</si>
  <si>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</si>
  <si>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</si>
  <si>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</si>
  <si>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</si>
  <si>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</si>
  <si>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</si>
  <si>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</si>
  <si>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</si>
  <si>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</si>
  <si>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</si>
  <si>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</si>
  <si>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</si>
  <si>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</si>
  <si>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</si>
  <si>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</si>
  <si>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</si>
  <si>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</si>
  <si>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</si>
  <si>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</si>
  <si>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</si>
  <si>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</si>
  <si>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</si>
  <si>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</si>
  <si>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</si>
  <si>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</si>
  <si>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</si>
  <si>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</si>
  <si>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</si>
  <si>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</si>
  <si>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</si>
  <si>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</si>
  <si>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</si>
  <si>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</si>
  <si>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</si>
  <si>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</si>
  <si>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</si>
  <si>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</si>
  <si>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</si>
  <si>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</si>
  <si>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</si>
  <si>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</si>
  <si>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</si>
  <si>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</si>
  <si>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</si>
  <si>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</si>
  <si>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</si>
  <si>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</si>
  <si>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</si>
  <si>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</si>
  <si>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</si>
  <si>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</si>
  <si>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</si>
  <si>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</si>
  <si>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</si>
  <si>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</si>
  <si>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</si>
  <si>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</si>
  <si>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</si>
  <si>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</si>
  <si>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</si>
  <si>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</si>
  <si>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</si>
  <si>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</si>
  <si>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</si>
  <si>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</si>
  <si>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</si>
  <si>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</si>
  <si>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</si>
  <si>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</si>
  <si>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</si>
  <si>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</si>
  <si>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</si>
  <si>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</si>
  <si>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</si>
  <si>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</si>
  <si>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</si>
  <si>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</si>
  <si>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</si>
  <si>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</si>
  <si>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</si>
  <si>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</si>
  <si>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</si>
  <si>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</si>
  <si>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</si>
  <si>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</si>
  <si>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</si>
  <si>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</si>
  <si>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</si>
  <si>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</si>
  <si>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</si>
  <si>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</si>
  <si>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</si>
  <si>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</si>
  <si>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</si>
  <si>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</si>
  <si>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</si>
  <si>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</si>
  <si>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</si>
  <si>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</si>
  <si>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</si>
  <si>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</si>
  <si>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</si>
  <si>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</si>
  <si>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</si>
  <si>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</si>
  <si>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</si>
  <si>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</si>
  <si>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</si>
  <si>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</si>
  <si>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</si>
  <si>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</si>
  <si>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</si>
  <si>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</si>
  <si>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</si>
  <si>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</si>
  <si>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</si>
  <si>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</si>
  <si>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</si>
  <si>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</si>
  <si>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</si>
  <si>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</si>
  <si>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</si>
  <si>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</si>
  <si>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</si>
  <si>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</si>
  <si>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</si>
  <si>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</si>
  <si>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</si>
  <si>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</si>
  <si>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</si>
  <si>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</si>
  <si>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</si>
  <si>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</si>
  <si>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</si>
  <si>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</si>
  <si>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</si>
  <si>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</si>
  <si>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</si>
  <si>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</si>
  <si>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</si>
  <si>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</si>
  <si>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</si>
  <si>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</si>
  <si>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</si>
  <si>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</si>
  <si>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</si>
  <si>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</si>
  <si>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</si>
  <si>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</si>
  <si>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</si>
  <si>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</si>
  <si>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</si>
  <si>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</si>
  <si>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</si>
  <si>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</si>
  <si>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</si>
  <si>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</si>
  <si>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</si>
  <si>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</si>
  <si>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</si>
  <si>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</si>
  <si>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</si>
  <si>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</si>
  <si>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</si>
  <si>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</si>
  <si>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</si>
  <si>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</si>
  <si>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</si>
  <si>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</si>
  <si>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</si>
  <si>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</si>
  <si>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</si>
  <si>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</si>
  <si>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</si>
  <si>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</si>
  <si>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</si>
  <si>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</si>
  <si>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</si>
  <si>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</si>
  <si>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</si>
  <si>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</si>
  <si>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</si>
  <si>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</si>
  <si>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</si>
  <si>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</si>
  <si>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</si>
  <si>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</si>
  <si>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</si>
  <si>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</si>
  <si>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</si>
  <si>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</si>
  <si>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</si>
  <si>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</si>
  <si>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</si>
  <si>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</si>
  <si>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</si>
  <si>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</si>
  <si>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</si>
  <si>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</si>
  <si>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</si>
  <si>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</si>
  <si>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</si>
  <si>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</si>
  <si>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</si>
  <si>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</si>
  <si>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</si>
  <si>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</si>
  <si>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</si>
  <si>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</si>
  <si>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</si>
  <si>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</si>
  <si>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</si>
  <si>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</si>
  <si>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</si>
  <si>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</si>
  <si>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</si>
  <si>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</si>
  <si>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</si>
  <si>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</si>
  <si>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</si>
  <si>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</si>
  <si>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</si>
  <si>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</si>
  <si>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</si>
  <si>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</si>
  <si>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</si>
  <si>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</si>
  <si>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</si>
  <si>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</si>
  <si>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</si>
  <si>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</si>
  <si>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</si>
  <si>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</si>
  <si>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</si>
  <si>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</si>
  <si>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</si>
  <si>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</si>
  <si>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</si>
  <si>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</si>
  <si>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</si>
  <si>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</si>
  <si>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</si>
  <si>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</si>
  <si>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</si>
  <si>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</si>
  <si>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</si>
  <si>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</si>
  <si>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</si>
  <si>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</si>
  <si>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</si>
  <si>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</si>
  <si>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</si>
  <si>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</si>
  <si>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</si>
  <si>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</si>
  <si>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</si>
  <si>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</si>
  <si>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</si>
  <si>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</si>
  <si>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</si>
  <si>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</si>
  <si>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</si>
  <si>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</si>
  <si>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</si>
  <si>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</si>
  <si>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</si>
  <si>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</si>
  <si>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</si>
  <si>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</si>
  <si>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</si>
  <si>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</si>
  <si>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</si>
  <si>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</si>
  <si>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</si>
  <si>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</si>
  <si>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</si>
  <si>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</si>
  <si>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</si>
  <si>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</si>
  <si>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</si>
  <si>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</si>
  <si>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</si>
  <si>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</si>
  <si>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</si>
  <si>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</si>
  <si>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</si>
  <si>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</si>
  <si>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</si>
  <si>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</si>
  <si>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</si>
  <si>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</si>
  <si>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</si>
  <si>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</si>
  <si>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</si>
  <si>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</si>
  <si>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</si>
  <si>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</si>
  <si>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</si>
  <si>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</si>
  <si>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</si>
  <si>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</si>
  <si>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</si>
  <si>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</si>
  <si>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</si>
  <si>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</si>
  <si>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</si>
  <si>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</si>
  <si>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</si>
  <si>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</si>
  <si>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</si>
  <si>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</si>
  <si>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</si>
  <si>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</si>
  <si>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</si>
  <si>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</si>
  <si>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</si>
  <si>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</si>
  <si>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</si>
  <si>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</si>
  <si>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</si>
  <si>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</si>
  <si>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</si>
  <si>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</si>
  <si>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</si>
  <si>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</si>
  <si>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</si>
  <si>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</si>
  <si>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</si>
  <si>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</si>
  <si>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</si>
  <si>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</si>
  <si>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</si>
  <si>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</si>
  <si>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</si>
  <si>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</si>
  <si>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</si>
  <si>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</si>
  <si>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</si>
  <si>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</si>
  <si>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</si>
  <si>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</si>
  <si>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</si>
  <si>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</si>
  <si>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</si>
  <si>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</si>
  <si>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</si>
  <si>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</si>
  <si>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</si>
  <si>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</si>
  <si>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</si>
  <si>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</si>
  <si>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</si>
  <si>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</si>
  <si>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</si>
  <si>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</si>
  <si>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</si>
  <si>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</si>
  <si>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</si>
  <si>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</si>
  <si>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</si>
  <si>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</si>
  <si>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</si>
  <si>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</si>
  <si>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</si>
  <si>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</si>
  <si>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</si>
  <si>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</si>
  <si>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</si>
  <si>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</si>
  <si>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</si>
  <si>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</si>
  <si>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</si>
  <si>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</si>
  <si>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</si>
  <si>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</si>
  <si>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</si>
  <si>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</si>
  <si>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</si>
  <si>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</si>
  <si>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</si>
  <si>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</si>
  <si>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</si>
  <si>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</si>
  <si>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</si>
  <si>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</si>
  <si>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</si>
  <si>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</si>
  <si>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</si>
  <si>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</si>
  <si>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</si>
  <si>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</si>
  <si>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</si>
  <si>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</si>
  <si>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</si>
  <si>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</si>
  <si>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</si>
  <si>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</si>
  <si>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</si>
  <si>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</si>
  <si>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</si>
  <si>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</si>
  <si>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</si>
  <si>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</si>
  <si>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</si>
  <si>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</si>
  <si>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</si>
  <si>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</si>
  <si>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</si>
  <si>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</si>
  <si>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</si>
  <si>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</si>
  <si>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</si>
  <si>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</si>
  <si>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</si>
  <si>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</si>
  <si>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</si>
  <si>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</si>
  <si>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</si>
  <si>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</si>
  <si>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</si>
  <si>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</si>
  <si>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</si>
  <si>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</si>
  <si>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</si>
  <si>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</si>
  <si>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</si>
  <si>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</si>
  <si>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</si>
  <si>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</si>
  <si>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</si>
  <si>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</si>
  <si>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</si>
  <si>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</si>
  <si>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</si>
  <si>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</si>
  <si>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</si>
  <si>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</si>
  <si>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</si>
  <si>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</si>
  <si>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</si>
  <si>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</si>
  <si>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</si>
  <si>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</si>
  <si>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</si>
  <si>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</si>
  <si>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</si>
  <si>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</si>
  <si>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</si>
  <si>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</si>
  <si>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</si>
  <si>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</si>
  <si>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</si>
  <si>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</si>
  <si>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</si>
  <si>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</si>
  <si>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</si>
  <si>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</si>
  <si>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</si>
  <si>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</si>
  <si>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</si>
  <si>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</si>
  <si>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</si>
  <si>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</si>
  <si>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</si>
  <si>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</si>
  <si>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</si>
  <si>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</si>
  <si>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</si>
  <si>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</si>
  <si>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</si>
  <si>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</si>
  <si>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</si>
  <si>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</si>
  <si>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</si>
  <si>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</si>
  <si>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</si>
  <si>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</si>
  <si>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</si>
  <si>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</si>
  <si>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</si>
  <si>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</si>
  <si>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</si>
  <si>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</si>
  <si>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</si>
  <si>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</si>
  <si>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</si>
  <si>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</si>
  <si>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</si>
  <si>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</si>
  <si>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</si>
  <si>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</si>
  <si>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</si>
  <si>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</si>
  <si>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</si>
  <si>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</si>
  <si>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</si>
  <si>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</si>
  <si>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</si>
  <si>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</si>
  <si>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</si>
  <si>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</si>
  <si>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</si>
  <si>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</si>
  <si>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</si>
  <si>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</si>
  <si>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</si>
  <si>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</si>
  <si>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</si>
  <si>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</si>
  <si>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</si>
  <si>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</si>
  <si>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</si>
  <si>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</si>
  <si>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</si>
  <si>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</si>
  <si>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</si>
  <si>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</si>
  <si>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</si>
  <si>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</si>
  <si>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</si>
  <si>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</si>
  <si>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</si>
  <si>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</si>
  <si>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</si>
  <si>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</si>
  <si>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</si>
  <si>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</si>
  <si>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</si>
  <si>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</si>
  <si>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</si>
  <si>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</si>
  <si>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</si>
  <si>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</si>
  <si>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</si>
  <si>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</si>
  <si>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</si>
  <si>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</si>
  <si>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</si>
  <si>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</si>
  <si>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</si>
  <si>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</si>
  <si>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</si>
  <si>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</si>
  <si>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</si>
  <si>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</si>
  <si>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</si>
  <si>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</si>
  <si>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</si>
  <si>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</si>
  <si>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</si>
  <si>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</si>
  <si>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</si>
  <si>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</si>
  <si>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</si>
  <si>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</si>
  <si>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</si>
  <si>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</si>
  <si>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</si>
  <si>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</si>
  <si>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</si>
  <si>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</si>
  <si>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</si>
  <si>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</si>
  <si>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</si>
  <si>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</si>
  <si>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</si>
  <si>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</si>
  <si>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</si>
  <si>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</si>
  <si>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</si>
  <si>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</si>
  <si>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</si>
  <si>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</si>
  <si>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</si>
  <si>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</si>
  <si>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</si>
  <si>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</si>
  <si>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</si>
  <si>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</si>
  <si>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</si>
  <si>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</si>
  <si>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</si>
  <si>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</si>
  <si>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</si>
  <si>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</si>
  <si>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</si>
  <si>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</si>
  <si>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</si>
  <si>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</si>
  <si>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</si>
  <si>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</si>
  <si>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</si>
  <si>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</si>
  <si>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</si>
  <si>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</si>
  <si>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</si>
  <si>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</si>
  <si>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</si>
  <si>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</si>
  <si>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</si>
  <si>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</si>
  <si>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</si>
  <si>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</si>
  <si>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</si>
  <si>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</si>
  <si>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</si>
  <si>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</si>
  <si>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</si>
  <si>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</si>
  <si>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</si>
  <si>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</si>
  <si>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</si>
  <si>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</si>
  <si>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</si>
  <si>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</si>
  <si>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</si>
  <si>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</si>
  <si>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</si>
  <si>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</si>
  <si>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</si>
  <si>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</si>
  <si>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</si>
  <si>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</si>
  <si>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</si>
  <si>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</si>
  <si>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</si>
  <si>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</si>
  <si>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</si>
  <si>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</si>
  <si>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</si>
  <si>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</si>
  <si>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</si>
  <si>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</si>
  <si>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</si>
  <si>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</si>
  <si>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</si>
  <si>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</si>
  <si>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</si>
  <si>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</si>
  <si>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</si>
  <si>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</si>
  <si>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</si>
  <si>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</si>
  <si>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</si>
  <si>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</si>
  <si>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</si>
  <si>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</si>
  <si>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</si>
  <si>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</si>
  <si>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</si>
  <si>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</si>
  <si>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</si>
  <si>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</si>
  <si>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</si>
  <si>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</si>
  <si>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</si>
  <si>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</si>
  <si>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</si>
  <si>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</si>
  <si>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</si>
  <si>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</si>
  <si>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</si>
  <si>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</si>
  <si>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</si>
  <si>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</si>
  <si>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</si>
  <si>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</si>
  <si>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</si>
  <si>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</si>
  <si>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</si>
  <si>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</si>
  <si>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</si>
  <si>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</si>
  <si>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</si>
  <si>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</si>
  <si>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</si>
  <si>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</si>
  <si>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</si>
  <si>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</si>
  <si>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</si>
  <si>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</si>
  <si>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</si>
  <si>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</si>
  <si>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</si>
  <si>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</si>
  <si>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</si>
  <si>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</si>
  <si>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</si>
  <si>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</si>
  <si>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</si>
  <si>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</si>
  <si>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</si>
  <si>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</si>
  <si>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</si>
  <si>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</si>
  <si>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</si>
  <si>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</si>
  <si>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</si>
  <si>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</si>
  <si>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</si>
  <si>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</si>
  <si>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</si>
  <si>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</si>
  <si>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</si>
  <si>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</si>
  <si>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</si>
  <si>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</si>
  <si>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</si>
  <si>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</si>
  <si>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</si>
  <si>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</si>
  <si>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</si>
  <si>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</si>
  <si>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</si>
  <si>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</si>
  <si>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</si>
  <si>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</si>
  <si>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</si>
  <si>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</si>
  <si>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</si>
  <si>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</si>
  <si>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</si>
  <si>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</si>
  <si>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</si>
  <si>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</si>
  <si>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</si>
  <si>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</si>
  <si>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Commercial Review Flag</t>
  </si>
  <si>
    <t>QUO-01860-C4R7F9</t>
  </si>
  <si>
    <t>AEM implementation for MathCodeInc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</si>
</sst>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6">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
      <patternFill patternType="solid">
        <fgColor rgb="FFF2F2F2"/>
        <bgColor rgb="FF000000"/>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2">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0" fontId="22" fillId="55" borderId="0" xfId="0" applyFont="1" applyFill="1"/>
    <xf numFmtId="8" fontId="22" fillId="55" borderId="0" xfId="0" applyNumberFormat="1" applyFont="1" applyFill="1"/>
    <xf numFmtId="9" fontId="22" fillId="55" borderId="0" xfId="0" applyNumberFormat="1" applyFont="1" applyFill="1"/>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80" fillId="4" borderId="0" xfId="1" applyNumberFormat="1" applyFont="1" applyFill="1" applyAlignment="1">
      <alignment horizontal="left" vertical="top" indent="2"/>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3.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ohannes.arntz/Develop/scout-services/ROPE-Dyn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4. Summary &amp; Totals"/>
      <sheetName val="6. Commercial Review"/>
      <sheetName val="3. Financial Inputs"/>
    </sheetNames>
    <sheetDataSet>
      <sheetData sheetId="0" refreshError="1"/>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3"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34">
      <pivotArea type="all" dataOnly="0" outline="0" fieldPosition="0"/>
    </format>
    <format dxfId="233">
      <pivotArea outline="0" collapsedLevelsAreSubtotals="1" fieldPosition="0"/>
    </format>
    <format dxfId="232">
      <pivotArea dataOnly="0" labelOnly="1" grandRow="1" outline="0" fieldPosition="0"/>
    </format>
    <format dxfId="231">
      <pivotArea dataOnly="0" labelOnly="1" outline="0" axis="axisValues" fieldPosition="0"/>
    </format>
    <format dxfId="230">
      <pivotArea type="all" dataOnly="0" outline="0" fieldPosition="0"/>
    </format>
    <format dxfId="229">
      <pivotArea outline="0" collapsedLevelsAreSubtotals="1" fieldPosition="0"/>
    </format>
    <format dxfId="228">
      <pivotArea dataOnly="0" labelOnly="1" grandRow="1" outline="0" fieldPosition="0"/>
    </format>
    <format dxfId="227">
      <pivotArea dataOnly="0" labelOnly="1" outline="0" axis="axisValues" fieldPosition="0"/>
    </format>
    <format dxfId="226">
      <pivotArea type="all" dataOnly="0" outline="0" fieldPosition="0"/>
    </format>
    <format dxfId="225">
      <pivotArea outline="0" collapsedLevelsAreSubtotals="1" fieldPosition="0"/>
    </format>
    <format dxfId="224">
      <pivotArea dataOnly="0" labelOnly="1" grandRow="1" outline="0" fieldPosition="0"/>
    </format>
    <format dxfId="223">
      <pivotArea dataOnly="0" labelOnly="1" outline="0" axis="axisValues" fieldPosition="0"/>
    </format>
    <format dxfId="222">
      <pivotArea type="all" dataOnly="0" outline="0" fieldPosition="0"/>
    </format>
    <format dxfId="221">
      <pivotArea outline="0" collapsedLevelsAreSubtotals="1" fieldPosition="0"/>
    </format>
    <format dxfId="220">
      <pivotArea dataOnly="0" labelOnly="1" grandRow="1" outline="0" fieldPosition="0"/>
    </format>
    <format dxfId="219">
      <pivotArea dataOnly="0" labelOnly="1" outline="0" axis="axisValues" fieldPosition="0"/>
    </format>
    <format dxfId="218">
      <pivotArea grandRow="1" outline="0" collapsedLevelsAreSubtotals="1" fieldPosition="0"/>
    </format>
    <format dxfId="217">
      <pivotArea dataOnly="0" labelOnly="1" grandRow="1" outline="0" fieldPosition="0"/>
    </format>
    <format dxfId="216">
      <pivotArea type="all" dataOnly="0" outline="0" fieldPosition="0"/>
    </format>
    <format dxfId="215">
      <pivotArea dataOnly="0" labelOnly="1" outline="0" axis="axisValues" fieldPosition="0"/>
    </format>
    <format dxfId="214">
      <pivotArea field="2" type="button" dataOnly="0" labelOnly="1" outline="0" axis="axisRow" fieldPosition="1"/>
    </format>
    <format dxfId="213">
      <pivotArea dataOnly="0" labelOnly="1" outline="0" axis="axisValues" fieldPosition="0"/>
    </format>
    <format dxfId="212">
      <pivotArea field="2" type="button" dataOnly="0" labelOnly="1" outline="0" axis="axisRow" fieldPosition="1"/>
    </format>
    <format dxfId="211">
      <pivotArea dataOnly="0" labelOnly="1" outline="0" axis="axisValues" fieldPosition="0"/>
    </format>
    <format dxfId="210">
      <pivotArea dataOnly="0" labelOnly="1" fieldPosition="0">
        <references count="1">
          <reference field="2" count="0"/>
        </references>
      </pivotArea>
    </format>
    <format dxfId="209">
      <pivotArea outline="0" collapsedLevelsAreSubtotals="1" fieldPosition="0"/>
    </format>
    <format dxfId="208">
      <pivotArea dataOnly="0" labelOnly="1" fieldPosition="0">
        <references count="1">
          <reference field="2" count="11">
            <x v="0"/>
            <x v="2"/>
            <x v="3"/>
            <x v="4"/>
            <x v="5"/>
            <x v="6"/>
            <x v="7"/>
            <x v="8"/>
            <x v="9"/>
            <x v="10"/>
            <x v="11"/>
          </reference>
        </references>
      </pivotArea>
    </format>
    <format dxfId="207">
      <pivotArea dataOnly="0" labelOnly="1" grandRow="1" outline="0" fieldPosition="0"/>
    </format>
    <format dxfId="206">
      <pivotArea field="0" type="button" dataOnly="0" labelOnly="1" outline="0" axis="axisRow" fieldPosition="0"/>
    </format>
    <format dxfId="205">
      <pivotArea field="0" type="button" dataOnly="0" labelOnly="1" outline="0" axis="axisRow" fieldPosition="0"/>
    </format>
    <format dxfId="204">
      <pivotArea dataOnly="0" labelOnly="1" grandRow="1" outline="0" offset="A256" fieldPosition="0"/>
    </format>
    <format dxfId="203">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6" t="s">
        <v>2360</v>
      </c>
      <c r="C8" s="1626"/>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5" t="s">
        <v>6</v>
      </c>
      <c r="C11" s="1625"/>
      <c r="D11" s="854"/>
      <c r="E11" s="854"/>
      <c r="F11" s="773"/>
      <c r="H11" s="771"/>
      <c r="W11" s="772"/>
    </row>
    <row r="12" spans="1:30" ht="14" x14ac:dyDescent="0.35">
      <c r="A12" s="769"/>
      <c r="B12" s="1625" t="s">
        <v>2359</v>
      </c>
      <c r="C12" s="1625"/>
      <c r="H12" s="476"/>
      <c r="W12" s="772"/>
    </row>
    <row r="13" spans="1:30" ht="14" customHeight="1" x14ac:dyDescent="0.35">
      <c r="A13" s="769"/>
      <c r="B13" s="1625" t="s">
        <v>2356</v>
      </c>
      <c r="C13" s="1625"/>
      <c r="H13" s="476"/>
      <c r="U13" s="774"/>
      <c r="W13" s="772"/>
    </row>
    <row r="14" spans="1:30" ht="14" customHeight="1" x14ac:dyDescent="0.35">
      <c r="A14" s="769"/>
      <c r="B14" s="1625" t="s">
        <v>3</v>
      </c>
      <c r="C14" s="1625"/>
      <c r="G14" s="775"/>
      <c r="H14" s="476"/>
      <c r="U14" s="770"/>
      <c r="W14" s="772"/>
    </row>
    <row r="15" spans="1:30" ht="14" customHeight="1" x14ac:dyDescent="0.35">
      <c r="A15" s="769"/>
      <c r="B15" s="1625" t="s">
        <v>5</v>
      </c>
      <c r="C15" s="1625"/>
      <c r="H15" s="476"/>
      <c r="U15" s="407"/>
      <c r="W15" s="772"/>
    </row>
    <row r="16" spans="1:30" ht="14" x14ac:dyDescent="0.35">
      <c r="A16" s="769"/>
      <c r="B16" s="1629" t="s">
        <v>2354</v>
      </c>
      <c r="C16" s="1629"/>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7" t="s">
        <v>2365</v>
      </c>
      <c r="C19" s="1627"/>
      <c r="H19" s="476"/>
      <c r="W19" s="772"/>
    </row>
    <row r="20" spans="1:23" ht="14" x14ac:dyDescent="0.35">
      <c r="A20" s="769"/>
      <c r="B20" s="1627" t="s">
        <v>2362</v>
      </c>
      <c r="C20" s="1627"/>
      <c r="H20" s="476"/>
      <c r="W20" s="772"/>
    </row>
    <row r="21" spans="1:23" ht="14" x14ac:dyDescent="0.35">
      <c r="A21" s="769"/>
      <c r="B21" s="1632" t="s">
        <v>2395</v>
      </c>
      <c r="C21" s="1633"/>
      <c r="H21" s="476"/>
      <c r="W21" s="772"/>
    </row>
    <row r="22" spans="1:23" ht="14" x14ac:dyDescent="0.35">
      <c r="A22" s="769"/>
      <c r="B22" s="1632" t="s">
        <v>2396</v>
      </c>
      <c r="C22" s="1633"/>
      <c r="H22" s="476"/>
      <c r="W22" s="772"/>
    </row>
    <row r="23" spans="1:23" ht="14" x14ac:dyDescent="0.35">
      <c r="A23" s="769"/>
      <c r="B23" s="1632" t="s">
        <v>2397</v>
      </c>
      <c r="C23" s="1633"/>
      <c r="H23" s="476"/>
      <c r="W23" s="772"/>
    </row>
    <row r="24" spans="1:23" ht="14" x14ac:dyDescent="0.35">
      <c r="A24" s="769"/>
      <c r="B24" s="1632" t="s">
        <v>2398</v>
      </c>
      <c r="C24" s="1633"/>
      <c r="W24" s="772"/>
    </row>
    <row r="25" spans="1:23" ht="14" x14ac:dyDescent="0.35">
      <c r="A25" s="769"/>
      <c r="B25" s="1630" t="s">
        <v>3188</v>
      </c>
      <c r="C25" s="1631"/>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8"/>
      <c r="F31" s="1628"/>
      <c r="G31" s="1628"/>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78" zoomScaleNormal="78" workbookViewId="0">
      <pane ySplit="4" topLeftCell="A22" activePane="bottomLeft" state="frozen"/>
      <selection activeCell="G20" sqref="G20"/>
      <selection pane="bottomLeft" activeCell="C27" sqref="C27"/>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8" t="s">
        <v>0</v>
      </c>
      <c r="E2" s="1639"/>
      <c r="F2" s="1640"/>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5" t="s">
        <v>3249</v>
      </c>
      <c r="C7" s="1655"/>
      <c r="D7" s="1655"/>
      <c r="E7" s="1655"/>
      <c r="F7" s="1655"/>
      <c r="G7" s="848"/>
      <c r="H7" s="848"/>
      <c r="I7" s="848"/>
      <c r="L7" s="847"/>
    </row>
    <row r="8" spans="2:15" s="624" customFormat="1" ht="14" x14ac:dyDescent="0.35">
      <c r="B8" s="1661" t="s">
        <v>2310</v>
      </c>
      <c r="C8" s="1661"/>
      <c r="D8" s="1661"/>
      <c r="E8" s="1661"/>
      <c r="F8" s="405"/>
      <c r="G8" s="848"/>
      <c r="H8" s="848"/>
      <c r="I8" s="848"/>
      <c r="L8" s="847"/>
    </row>
    <row r="9" spans="2:15" s="624" customFormat="1" ht="14" x14ac:dyDescent="0.35">
      <c r="B9" s="1468" t="s">
        <v>3250</v>
      </c>
      <c r="C9" s="1468"/>
      <c r="D9" s="1468"/>
      <c r="E9" s="1468"/>
      <c r="F9" s="405"/>
      <c r="G9" s="848"/>
      <c r="H9" s="848"/>
      <c r="I9" s="848"/>
      <c r="L9" s="847"/>
    </row>
    <row r="10" spans="2:15" s="624" customFormat="1" ht="14" x14ac:dyDescent="0.35">
      <c r="B10" s="1662" t="s">
        <v>3251</v>
      </c>
      <c r="C10" s="1662"/>
      <c r="D10" s="1662"/>
      <c r="E10" s="1662"/>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3295</v>
      </c>
      <c r="I13" s="413"/>
      <c r="J13" s="395"/>
      <c r="K13" s="395"/>
      <c r="L13" s="405"/>
    </row>
    <row r="14" spans="2:15" x14ac:dyDescent="0.35">
      <c r="B14" s="395" t="s">
        <v>3296</v>
      </c>
      <c r="I14" s="413"/>
      <c r="J14" s="395"/>
      <c r="K14" s="395"/>
      <c r="L14" s="405"/>
    </row>
    <row r="15" spans="2:15" x14ac:dyDescent="0.35">
      <c r="B15" s="627"/>
      <c r="I15" s="413"/>
      <c r="J15" s="395"/>
      <c r="K15" s="395"/>
      <c r="L15" s="405"/>
    </row>
    <row r="16" spans="2:15" x14ac:dyDescent="0.35">
      <c r="B16" s="1646" t="s">
        <v>2167</v>
      </c>
      <c r="C16" s="1647"/>
      <c r="I16" s="413"/>
      <c r="J16" s="395"/>
      <c r="K16" s="395"/>
      <c r="L16" s="405"/>
    </row>
    <row r="17" spans="2:12" ht="20" customHeight="1" x14ac:dyDescent="0.35">
      <c r="B17" s="865" t="s">
        <v>15</v>
      </c>
      <c r="C17" s="866" t="s">
        <v>295</v>
      </c>
      <c r="D17" s="831"/>
      <c r="E17" s="1641" t="s">
        <v>2269</v>
      </c>
      <c r="F17" s="1642"/>
      <c r="G17" s="418"/>
      <c r="I17" s="416"/>
      <c r="J17" s="416"/>
      <c r="K17" s="416"/>
      <c r="L17" s="413"/>
    </row>
    <row r="18" spans="2:12" ht="24.5" customHeight="1" x14ac:dyDescent="0.35">
      <c r="B18" s="867" t="s">
        <v>1304</v>
      </c>
      <c r="C18" s="868" t="s">
        <v>1431</v>
      </c>
      <c r="D18" s="419"/>
      <c r="E18" s="1643"/>
      <c r="F18" s="1644"/>
      <c r="G18" s="418"/>
      <c r="I18" s="413"/>
      <c r="J18" s="413"/>
      <c r="K18" s="413"/>
      <c r="L18" s="413"/>
    </row>
    <row r="19" spans="2:12" ht="20" customHeight="1" x14ac:dyDescent="0.35">
      <c r="B19" s="867" t="s">
        <v>3572</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3297</v>
      </c>
      <c r="C21" s="868" t="s">
        <v>275</v>
      </c>
      <c r="D21" s="1376"/>
      <c r="E21" s="1272" t="s">
        <v>21</v>
      </c>
      <c r="F21" s="1267" t="s">
        <v>216</v>
      </c>
      <c r="G21" s="422"/>
      <c r="I21" s="413"/>
      <c r="J21" s="413"/>
      <c r="K21" s="413"/>
      <c r="L21" s="413"/>
    </row>
    <row r="22" spans="2:12" ht="26" customHeight="1" x14ac:dyDescent="0.35">
      <c r="B22" s="871" t="s">
        <v>2064</v>
      </c>
      <c r="C22" s="1620">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3571</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45931</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63"/>
      <c r="D33" s="1663"/>
      <c r="E33" s="1663"/>
      <c r="F33" s="1663"/>
      <c r="G33" s="403"/>
      <c r="H33" s="403"/>
      <c r="I33" s="403"/>
      <c r="J33" s="427"/>
      <c r="K33" s="428"/>
      <c r="L33" s="403"/>
      <c r="M33" s="403"/>
      <c r="N33" s="428"/>
      <c r="O33" s="428"/>
    </row>
    <row r="34" spans="2:15" s="624" customFormat="1" ht="29" customHeight="1" x14ac:dyDescent="0.35">
      <c r="B34" s="1657" t="s">
        <v>2375</v>
      </c>
      <c r="C34" s="1657"/>
      <c r="D34" s="1657"/>
      <c r="E34" s="1657"/>
      <c r="F34" s="1657"/>
      <c r="G34" s="1262"/>
      <c r="H34" s="1262"/>
    </row>
    <row r="35" spans="2:15" s="624" customFormat="1" ht="29.5" customHeight="1" x14ac:dyDescent="0.35">
      <c r="B35" s="1658" t="s">
        <v>3200</v>
      </c>
      <c r="C35" s="1658"/>
      <c r="D35" s="1658"/>
      <c r="E35" s="1658"/>
      <c r="F35" s="1658"/>
      <c r="G35" s="1262"/>
      <c r="H35" s="1262"/>
    </row>
    <row r="36" spans="2:15" ht="14" x14ac:dyDescent="0.3">
      <c r="B36" s="1262"/>
      <c r="C36" s="1262"/>
      <c r="D36" s="1262"/>
      <c r="E36" s="1262"/>
      <c r="F36" s="1262"/>
      <c r="G36" s="1262"/>
      <c r="H36" s="1262"/>
      <c r="J36" s="395"/>
      <c r="K36" s="395"/>
      <c r="N36" s="395"/>
      <c r="O36" s="395"/>
    </row>
    <row r="37" spans="2:15" ht="16" customHeight="1" x14ac:dyDescent="0.35">
      <c r="B37" s="1648" t="s">
        <v>2313</v>
      </c>
      <c r="C37" s="1649"/>
      <c r="D37" s="397"/>
      <c r="E37" s="412"/>
      <c r="H37" s="397"/>
      <c r="I37" s="412"/>
      <c r="K37" s="395"/>
      <c r="L37" s="429"/>
      <c r="M37" s="429"/>
    </row>
    <row r="38" spans="2:15" x14ac:dyDescent="0.35">
      <c r="B38" s="1636" t="s">
        <v>3178</v>
      </c>
      <c r="C38" s="1637"/>
      <c r="D38" s="430"/>
      <c r="E38" s="1645"/>
      <c r="F38" s="431"/>
      <c r="G38" s="432"/>
      <c r="H38" s="397"/>
      <c r="I38" s="433"/>
      <c r="J38" s="433"/>
      <c r="K38" s="433"/>
      <c r="L38" s="433"/>
      <c r="M38" s="433"/>
    </row>
    <row r="39" spans="2:15" x14ac:dyDescent="0.35">
      <c r="B39" s="1650" t="s">
        <v>3179</v>
      </c>
      <c r="C39" s="1651"/>
      <c r="D39" s="430"/>
      <c r="E39" s="1645"/>
      <c r="F39" s="431"/>
      <c r="G39" s="432"/>
      <c r="H39" s="397"/>
      <c r="I39" s="434"/>
      <c r="J39" s="432"/>
      <c r="K39" s="425"/>
      <c r="L39" s="432"/>
      <c r="M39" s="435"/>
    </row>
    <row r="40" spans="2:15" ht="17.25" customHeight="1" x14ac:dyDescent="0.35">
      <c r="B40" s="1650" t="s">
        <v>3180</v>
      </c>
      <c r="C40" s="1651"/>
      <c r="D40" s="430"/>
      <c r="E40" s="1645"/>
      <c r="F40" s="431"/>
      <c r="G40" s="432"/>
      <c r="H40" s="397"/>
      <c r="I40" s="434"/>
      <c r="J40" s="432"/>
      <c r="K40" s="425"/>
      <c r="L40" s="432"/>
      <c r="M40" s="435"/>
    </row>
    <row r="41" spans="2:15" x14ac:dyDescent="0.35">
      <c r="B41" s="1650" t="s">
        <v>3181</v>
      </c>
      <c r="C41" s="1651"/>
      <c r="D41" s="430"/>
      <c r="E41" s="1645"/>
      <c r="F41" s="436"/>
      <c r="G41" s="432"/>
      <c r="H41" s="397"/>
      <c r="I41" s="434"/>
      <c r="J41" s="432"/>
      <c r="K41" s="425"/>
      <c r="L41" s="432"/>
      <c r="M41" s="435"/>
    </row>
    <row r="42" spans="2:15" x14ac:dyDescent="0.35">
      <c r="B42" s="1650" t="s">
        <v>3182</v>
      </c>
      <c r="C42" s="1651"/>
      <c r="D42" s="430"/>
      <c r="E42" s="1645"/>
      <c r="F42" s="436"/>
      <c r="G42" s="432"/>
      <c r="H42" s="397"/>
      <c r="I42" s="434"/>
      <c r="J42" s="432"/>
      <c r="K42" s="425"/>
      <c r="L42" s="432"/>
      <c r="M42" s="435"/>
    </row>
    <row r="43" spans="2:15" x14ac:dyDescent="0.35">
      <c r="B43" s="1650" t="s">
        <v>3183</v>
      </c>
      <c r="C43" s="1651"/>
      <c r="D43" s="430"/>
      <c r="E43" s="1645"/>
      <c r="F43" s="436"/>
      <c r="G43" s="432"/>
      <c r="H43" s="397"/>
      <c r="I43" s="434"/>
      <c r="J43" s="432"/>
      <c r="K43" s="425"/>
      <c r="L43" s="432"/>
      <c r="M43" s="435"/>
    </row>
    <row r="44" spans="2:15" x14ac:dyDescent="0.35">
      <c r="B44" s="1634" t="s">
        <v>2242</v>
      </c>
      <c r="C44" s="1635"/>
      <c r="D44" s="430"/>
      <c r="E44" s="1645"/>
      <c r="F44" s="436"/>
      <c r="G44" s="432"/>
      <c r="H44" s="397"/>
      <c r="I44" s="434"/>
      <c r="J44" s="432"/>
      <c r="K44" s="437"/>
      <c r="L44" s="432"/>
      <c r="M44" s="435"/>
    </row>
    <row r="45" spans="2:15" x14ac:dyDescent="0.35">
      <c r="B45" s="1634" t="s">
        <v>2243</v>
      </c>
      <c r="C45" s="1635"/>
      <c r="D45" s="430"/>
      <c r="E45" s="1645"/>
      <c r="F45" s="436"/>
      <c r="G45" s="432"/>
      <c r="H45" s="397"/>
      <c r="I45" s="438"/>
      <c r="J45" s="432"/>
      <c r="K45" s="437"/>
      <c r="L45" s="432"/>
      <c r="M45" s="437"/>
    </row>
    <row r="46" spans="2:15" x14ac:dyDescent="0.35">
      <c r="B46" s="1634" t="s">
        <v>2244</v>
      </c>
      <c r="C46" s="1635"/>
      <c r="D46" s="430"/>
      <c r="E46" s="1645"/>
      <c r="F46" s="436"/>
      <c r="G46" s="432"/>
      <c r="H46" s="397"/>
      <c r="J46" s="397"/>
      <c r="K46" s="395"/>
    </row>
    <row r="47" spans="2:15" x14ac:dyDescent="0.35">
      <c r="B47" s="1634" t="s">
        <v>2245</v>
      </c>
      <c r="C47" s="1635"/>
      <c r="D47" s="430"/>
      <c r="E47" s="1645"/>
      <c r="F47" s="436"/>
      <c r="G47" s="432"/>
      <c r="H47" s="397"/>
      <c r="I47" s="439"/>
      <c r="J47" s="395"/>
      <c r="K47" s="395"/>
    </row>
    <row r="48" spans="2:15" x14ac:dyDescent="0.35">
      <c r="B48" s="1634" t="s">
        <v>2246</v>
      </c>
      <c r="C48" s="1635"/>
      <c r="D48" s="430"/>
      <c r="E48" s="440"/>
      <c r="F48" s="441"/>
      <c r="G48" s="442"/>
      <c r="H48" s="397"/>
      <c r="I48" s="413"/>
      <c r="J48" s="443"/>
      <c r="K48" s="443"/>
      <c r="L48" s="413"/>
      <c r="M48" s="413"/>
    </row>
    <row r="49" spans="2:15" x14ac:dyDescent="0.35">
      <c r="B49" s="1634" t="s">
        <v>2247</v>
      </c>
      <c r="C49" s="1635"/>
      <c r="D49" s="430"/>
      <c r="E49" s="440"/>
      <c r="F49" s="441"/>
      <c r="G49" s="442"/>
      <c r="H49" s="397"/>
      <c r="I49" s="413"/>
      <c r="J49" s="443"/>
      <c r="K49" s="443"/>
      <c r="L49" s="413"/>
      <c r="M49" s="413"/>
    </row>
    <row r="50" spans="2:15" x14ac:dyDescent="0.35">
      <c r="B50" s="1634" t="s">
        <v>2248</v>
      </c>
      <c r="C50" s="1635"/>
      <c r="D50" s="430"/>
      <c r="E50" s="440"/>
      <c r="F50" s="441"/>
      <c r="G50" s="442"/>
      <c r="H50" s="397"/>
      <c r="I50" s="413"/>
      <c r="J50" s="443"/>
      <c r="K50" s="443"/>
      <c r="L50" s="413"/>
      <c r="M50" s="413"/>
    </row>
    <row r="51" spans="2:15" x14ac:dyDescent="0.35">
      <c r="B51" s="1634" t="s">
        <v>2249</v>
      </c>
      <c r="C51" s="1635"/>
      <c r="D51" s="430"/>
      <c r="E51" s="440"/>
      <c r="F51" s="441"/>
      <c r="G51" s="442"/>
      <c r="H51" s="397"/>
      <c r="I51" s="413"/>
      <c r="J51" s="443"/>
      <c r="K51" s="443"/>
      <c r="L51" s="413"/>
      <c r="M51" s="413"/>
    </row>
    <row r="52" spans="2:15" x14ac:dyDescent="0.35">
      <c r="B52" s="1634" t="s">
        <v>2250</v>
      </c>
      <c r="C52" s="1635"/>
      <c r="D52" s="430"/>
      <c r="E52" s="440"/>
      <c r="F52" s="441"/>
      <c r="G52" s="442"/>
      <c r="H52" s="397"/>
      <c r="I52" s="413"/>
      <c r="J52" s="443"/>
      <c r="K52" s="443"/>
      <c r="L52" s="413"/>
      <c r="M52" s="413"/>
    </row>
    <row r="53" spans="2:15" x14ac:dyDescent="0.35">
      <c r="B53" s="1634" t="s">
        <v>2251</v>
      </c>
      <c r="C53" s="1635"/>
      <c r="D53" s="430"/>
      <c r="E53" s="440"/>
      <c r="F53" s="441"/>
      <c r="G53" s="442"/>
      <c r="H53" s="397"/>
      <c r="I53" s="413"/>
      <c r="J53" s="443"/>
      <c r="K53" s="443"/>
      <c r="L53" s="413"/>
      <c r="M53" s="413"/>
    </row>
    <row r="54" spans="2:15" x14ac:dyDescent="0.35">
      <c r="B54" s="1634" t="s">
        <v>2252</v>
      </c>
      <c r="C54" s="1635"/>
      <c r="D54" s="430"/>
      <c r="E54" s="440"/>
      <c r="F54" s="441"/>
      <c r="G54" s="442"/>
      <c r="H54" s="397"/>
      <c r="I54" s="413"/>
      <c r="J54" s="443"/>
      <c r="K54" s="443"/>
      <c r="L54" s="413"/>
      <c r="M54" s="413"/>
    </row>
    <row r="55" spans="2:15" x14ac:dyDescent="0.35">
      <c r="B55" s="1634" t="s">
        <v>2253</v>
      </c>
      <c r="C55" s="1635"/>
      <c r="D55" s="430"/>
      <c r="E55" s="440"/>
      <c r="F55" s="441"/>
      <c r="G55" s="442"/>
      <c r="H55" s="397"/>
      <c r="I55" s="413"/>
      <c r="J55" s="443"/>
      <c r="K55" s="443"/>
      <c r="L55" s="413"/>
      <c r="M55" s="413"/>
    </row>
    <row r="56" spans="2:15" x14ac:dyDescent="0.35">
      <c r="B56" s="1634" t="s">
        <v>2254</v>
      </c>
      <c r="C56" s="1635"/>
      <c r="D56" s="430"/>
      <c r="E56" s="440"/>
      <c r="F56" s="441"/>
      <c r="G56" s="442"/>
      <c r="H56" s="397"/>
      <c r="I56" s="413"/>
      <c r="J56" s="443"/>
      <c r="K56" s="443"/>
      <c r="L56" s="413"/>
      <c r="M56" s="413"/>
    </row>
    <row r="57" spans="2:15" x14ac:dyDescent="0.35">
      <c r="B57" s="1659" t="s">
        <v>2255</v>
      </c>
      <c r="C57" s="1660"/>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2" t="s">
        <v>3177</v>
      </c>
      <c r="C60" s="1652"/>
      <c r="D60" s="1652"/>
      <c r="E60" s="1652"/>
      <c r="F60" s="1214"/>
      <c r="G60" s="1214"/>
      <c r="H60" s="1209"/>
      <c r="I60" s="838"/>
      <c r="J60" s="849"/>
      <c r="K60" s="850"/>
      <c r="L60" s="838"/>
      <c r="M60" s="838"/>
      <c r="N60" s="851"/>
      <c r="O60" s="851"/>
    </row>
    <row r="61" spans="2:15" s="624" customFormat="1" x14ac:dyDescent="0.35">
      <c r="B61" s="1656" t="s">
        <v>2404</v>
      </c>
      <c r="C61" s="1656"/>
      <c r="D61" s="1656"/>
      <c r="E61" s="1656"/>
      <c r="F61" s="1656"/>
      <c r="G61" s="1656"/>
      <c r="H61" s="1656"/>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3" t="s">
        <v>2163</v>
      </c>
      <c r="C63" s="1654"/>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453125" style="2" bestFit="1" customWidth="1"/>
    <col min="96" max="97" width="15.8164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45312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4" t="s">
        <v>231</v>
      </c>
      <c r="C1" s="1664"/>
      <c r="D1" s="1664"/>
      <c r="E1" s="1664"/>
      <c r="F1" s="1664"/>
      <c r="J1" s="757"/>
      <c r="BS1" s="758"/>
      <c r="CM1" s="1575"/>
    </row>
    <row r="2" spans="1:113" s="469" customFormat="1" ht="13" customHeight="1" x14ac:dyDescent="0.3">
      <c r="B2" s="1664"/>
      <c r="C2" s="1664"/>
      <c r="D2" s="1664"/>
      <c r="E2" s="1664"/>
      <c r="F2" s="1664"/>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4" t="s">
        <v>233</v>
      </c>
      <c r="C4" s="1614"/>
      <c r="D4" s="1614"/>
      <c r="E4" s="1614"/>
      <c r="F4" s="1614"/>
      <c r="G4" s="1614" t="s">
        <v>234</v>
      </c>
      <c r="H4" s="1614"/>
      <c r="I4" s="1614" t="s">
        <v>234</v>
      </c>
      <c r="J4" s="1615"/>
      <c r="K4" s="31"/>
      <c r="L4" s="1614"/>
      <c r="M4" s="1614"/>
      <c r="N4" s="1614"/>
      <c r="O4" s="1614"/>
      <c r="P4" s="1614"/>
      <c r="Q4" s="31"/>
      <c r="R4" s="31"/>
      <c r="S4" s="31"/>
      <c r="T4" s="31"/>
      <c r="U4" s="31"/>
      <c r="AN4" s="1211"/>
      <c r="AT4" s="1211"/>
      <c r="AU4" s="1211"/>
      <c r="AV4" s="1211"/>
      <c r="AW4" s="1211"/>
      <c r="AX4" s="1211"/>
      <c r="BN4" s="2" t="s">
        <v>2095</v>
      </c>
      <c r="CG4" s="1211"/>
      <c r="CH4" s="1211"/>
      <c r="CI4" s="1211"/>
      <c r="CJ4" s="1211"/>
      <c r="CK4" s="1211"/>
      <c r="CL4" s="1211"/>
      <c r="CM4" s="1618"/>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3679</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6"/>
      <c r="BN5" s="1616"/>
      <c r="BO5" s="1616"/>
      <c r="BP5" s="1616"/>
      <c r="BQ5" s="1616"/>
      <c r="BR5" s="1616"/>
      <c r="BS5" s="1617"/>
      <c r="BT5" s="1616"/>
      <c r="BZ5" s="728" t="s">
        <v>3175</v>
      </c>
      <c r="CG5" s="728" t="s">
        <v>245</v>
      </c>
      <c r="CH5" s="728" t="s">
        <v>1877</v>
      </c>
      <c r="CI5" s="728" t="s">
        <v>1746</v>
      </c>
      <c r="CJ5" s="728" t="s">
        <v>1846</v>
      </c>
      <c r="CK5" s="728" t="s">
        <v>3323</v>
      </c>
      <c r="CL5" s="728" t="s">
        <v>3543</v>
      </c>
      <c r="CM5" s="1576" t="s">
        <v>173</v>
      </c>
      <c r="CN5" s="728" t="s">
        <v>3537</v>
      </c>
      <c r="CO5" s="728" t="s">
        <v>3538</v>
      </c>
      <c r="CP5" s="728" t="s">
        <v>191</v>
      </c>
      <c r="CQ5" s="728" t="s">
        <v>3539</v>
      </c>
      <c r="CR5" s="728" t="s">
        <v>190</v>
      </c>
      <c r="CS5" s="728" t="s">
        <v>3540</v>
      </c>
      <c r="CT5" s="728" t="s">
        <v>3570</v>
      </c>
      <c r="CU5" s="728" t="s">
        <v>3212</v>
      </c>
      <c r="CV5" s="728" t="s">
        <v>3541</v>
      </c>
      <c r="CW5" s="728" t="s">
        <v>3542</v>
      </c>
      <c r="DF5" t="s">
        <v>3169</v>
      </c>
      <c r="DG5" t="s">
        <v>3212</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3680</v>
      </c>
      <c r="N6" s="2" t="s">
        <v>3679</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3350</v>
      </c>
      <c r="CL6" s="2" t="s">
        <v>3544</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3535</v>
      </c>
      <c r="DH6" t="s">
        <v>3424</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3680</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3545</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3535</v>
      </c>
      <c r="DH7" t="s">
        <v>3425</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3574</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3546</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3535</v>
      </c>
      <c r="DH8" t="s">
        <v>3426</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3679</v>
      </c>
      <c r="R9" s="2">
        <v>3</v>
      </c>
      <c r="S9" s="2" t="s">
        <v>287</v>
      </c>
      <c r="U9" s="2" t="s">
        <v>288</v>
      </c>
      <c r="V9" s="2" t="s">
        <v>3575</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3547</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3535</v>
      </c>
      <c r="DH9" t="s">
        <v>3427</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3351</v>
      </c>
      <c r="CL10" s="2" t="s">
        <v>3548</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3480</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3573</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3545</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3480</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3352</v>
      </c>
      <c r="CL12" s="2" t="s">
        <v>3548</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3480</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3549</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3480</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3353</v>
      </c>
      <c r="CL14" s="2" t="s">
        <v>3548</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3324</v>
      </c>
      <c r="DG14" t="s">
        <v>3481</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3545</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3536</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3536</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3536</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3536</v>
      </c>
      <c r="DH18" t="s">
        <v>3428</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3482</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3482</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3482</v>
      </c>
      <c r="DH21" t="s">
        <v>3429</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3324</v>
      </c>
      <c r="CJ22" s="2" t="s">
        <v>1863</v>
      </c>
      <c r="CK22" s="2" t="s">
        <v>3354</v>
      </c>
      <c r="CL22" s="2" t="s">
        <v>3546</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3482</v>
      </c>
      <c r="DH22" t="s">
        <v>3430</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3324</v>
      </c>
      <c r="CJ23" s="2" t="s">
        <v>1863</v>
      </c>
      <c r="CK23" s="2" t="s">
        <v>3355</v>
      </c>
      <c r="CL23" s="2" t="s">
        <v>3544</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3483</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3324</v>
      </c>
      <c r="CJ24" s="2" t="s">
        <v>1863</v>
      </c>
      <c r="CK24" s="2" t="s">
        <v>720</v>
      </c>
      <c r="CL24" s="2" t="s">
        <v>3545</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3483</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3324</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3483</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3324</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3483</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3324</v>
      </c>
      <c r="CJ27" s="2" t="s">
        <v>1863</v>
      </c>
      <c r="CK27" s="2" t="s">
        <v>315</v>
      </c>
      <c r="CL27" s="2" t="s">
        <v>3549</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3483</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3324</v>
      </c>
      <c r="CJ28" s="2" t="s">
        <v>1863</v>
      </c>
      <c r="CK28" s="2" t="s">
        <v>3356</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3484</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3324</v>
      </c>
      <c r="CJ29" s="2" t="s">
        <v>1863</v>
      </c>
      <c r="CK29" s="2" t="s">
        <v>370</v>
      </c>
      <c r="CL29" s="2" t="s">
        <v>3547</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3486</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3324</v>
      </c>
      <c r="CJ30" s="2" t="s">
        <v>1863</v>
      </c>
      <c r="CK30" s="2" t="s">
        <v>3357</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3325</v>
      </c>
      <c r="DG30" t="s">
        <v>3487</v>
      </c>
      <c r="DH30" t="s">
        <v>3431</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3324</v>
      </c>
      <c r="CJ31" s="2" t="s">
        <v>1863</v>
      </c>
      <c r="CK31" s="2" t="s">
        <v>3351</v>
      </c>
      <c r="CL31" s="2" t="s">
        <v>3548</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3325</v>
      </c>
      <c r="DG31" t="s">
        <v>3487</v>
      </c>
      <c r="DH31" t="s">
        <v>3432</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3324</v>
      </c>
      <c r="CJ32" s="2" t="s">
        <v>1863</v>
      </c>
      <c r="CK32" s="2" t="s">
        <v>3352</v>
      </c>
      <c r="CL32" s="2" t="s">
        <v>3548</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3485</v>
      </c>
      <c r="DH32" t="s">
        <v>3433</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3324</v>
      </c>
      <c r="CJ33" s="2" t="s">
        <v>1863</v>
      </c>
      <c r="CK33" s="2" t="s">
        <v>3358</v>
      </c>
      <c r="CL33" s="2" t="s">
        <v>3549</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3485</v>
      </c>
      <c r="DH33" t="s">
        <v>3434</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3324</v>
      </c>
      <c r="CJ34" s="2" t="s">
        <v>1863</v>
      </c>
      <c r="CK34" s="2" t="s">
        <v>3359</v>
      </c>
      <c r="CL34" s="2" t="s">
        <v>3545</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3326</v>
      </c>
      <c r="DG34" t="s">
        <v>3488</v>
      </c>
      <c r="DH34" t="s">
        <v>3326</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3324</v>
      </c>
      <c r="CJ35" s="2" t="s">
        <v>1863</v>
      </c>
      <c r="CK35" s="2" t="s">
        <v>3360</v>
      </c>
      <c r="CL35" s="2" t="s">
        <v>3546</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3327</v>
      </c>
      <c r="DG35" t="s">
        <v>3495</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3324</v>
      </c>
      <c r="CJ36" s="2" t="s">
        <v>1863</v>
      </c>
      <c r="CK36" s="2" t="s">
        <v>3361</v>
      </c>
      <c r="CL36" s="2" t="s">
        <v>3545</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3327</v>
      </c>
      <c r="DG36" t="s">
        <v>3495</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3324</v>
      </c>
      <c r="CJ37" s="2" t="s">
        <v>1863</v>
      </c>
      <c r="CK37" s="2" t="s">
        <v>3353</v>
      </c>
      <c r="CL37" s="2" t="s">
        <v>3548</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3496</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3362</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3489</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3545</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3489</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3550</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3489</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3551</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3489</v>
      </c>
      <c r="DH41" t="s">
        <v>3428</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3552</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3490</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3490</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3351</v>
      </c>
      <c r="CL44" s="2" t="s">
        <v>3548</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3490</v>
      </c>
      <c r="DH44" t="s">
        <v>3429</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3545</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3490</v>
      </c>
      <c r="DH45" t="s">
        <v>3430</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3352</v>
      </c>
      <c r="CL46" s="2" t="s">
        <v>3548</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3491</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3553</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3491</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3353</v>
      </c>
      <c r="CL48" s="2" t="s">
        <v>3548</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3491</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3545</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3497</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3545</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3498</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3363</v>
      </c>
      <c r="CL51" s="2" t="s">
        <v>3544</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3498</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3351</v>
      </c>
      <c r="CL52" s="2" t="s">
        <v>3548</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3499</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3352</v>
      </c>
      <c r="CL53" s="2" t="s">
        <v>3548</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3492</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3554</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3492</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3555</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3492</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3556</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3492</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3353</v>
      </c>
      <c r="CL57" s="2" t="s">
        <v>3548</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3492</v>
      </c>
      <c r="DH57" t="s">
        <v>3435</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3549</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3492</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3350</v>
      </c>
      <c r="CL59" s="2" t="s">
        <v>3544</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3492</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3545</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3492</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3546</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3493</v>
      </c>
      <c r="DH61" t="s">
        <v>3436</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3547</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3493</v>
      </c>
      <c r="DH62" t="s">
        <v>3437</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3351</v>
      </c>
      <c r="CL63" s="2" t="s">
        <v>3548</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3494</v>
      </c>
      <c r="DH63" t="s">
        <v>3438</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3545</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3494</v>
      </c>
      <c r="DH64" t="s">
        <v>3439</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3352</v>
      </c>
      <c r="CL65" s="2" t="s">
        <v>3548</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3500</v>
      </c>
      <c r="DH65" t="s">
        <v>3440</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3549</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3500</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3353</v>
      </c>
      <c r="CL67" s="2" t="s">
        <v>3548</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3500</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3545</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3500</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3500</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3500</v>
      </c>
      <c r="DH70" t="s">
        <v>3428</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3501</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3350</v>
      </c>
      <c r="CL72" s="2" t="s">
        <v>3544</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3501</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3545</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3501</v>
      </c>
      <c r="DH73" t="s">
        <v>3429</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3546</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3501</v>
      </c>
      <c r="DH74" t="s">
        <v>3430</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3547</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3502</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3351</v>
      </c>
      <c r="CL76" s="2" t="s">
        <v>3548</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3502</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3545</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3502</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3352</v>
      </c>
      <c r="CL78" s="2" t="s">
        <v>3548</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3502</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3549</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3503</v>
      </c>
      <c r="DH79" t="s">
        <v>3441</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3353</v>
      </c>
      <c r="CL80" s="2" t="s">
        <v>3548</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3503</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3545</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3503</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3503</v>
      </c>
      <c r="DH82" t="s">
        <v>3442</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3503</v>
      </c>
      <c r="DH83" t="s">
        <v>3443</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3504</v>
      </c>
      <c r="DH84" t="s">
        <v>3444</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3350</v>
      </c>
      <c r="CL85" s="2" t="s">
        <v>3544</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3504</v>
      </c>
      <c r="DH85" t="s">
        <v>3445</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3545</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3504</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3546</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3505</v>
      </c>
      <c r="DH87" t="s">
        <v>3446</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3547</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3505</v>
      </c>
      <c r="DH88" t="s">
        <v>3447</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3351</v>
      </c>
      <c r="CL89" s="2" t="s">
        <v>3548</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3505</v>
      </c>
      <c r="DH89" t="s">
        <v>3448</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3545</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3505</v>
      </c>
      <c r="DH90" t="s">
        <v>3449</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3352</v>
      </c>
      <c r="CL91" s="2" t="s">
        <v>3548</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3505</v>
      </c>
      <c r="DH91" t="s">
        <v>3450</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3549</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3505</v>
      </c>
      <c r="DH92" t="s">
        <v>3451</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3353</v>
      </c>
      <c r="CL93" s="2" t="s">
        <v>3548</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3506</v>
      </c>
      <c r="DH93" t="s">
        <v>3452</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3545</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3506</v>
      </c>
      <c r="DH94" t="s">
        <v>3453</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3506</v>
      </c>
      <c r="DH95" t="s">
        <v>3454</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3506</v>
      </c>
      <c r="DH96" t="s">
        <v>3455</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3506</v>
      </c>
      <c r="DH97" t="s">
        <v>3456</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3325</v>
      </c>
      <c r="CJ98" s="2" t="s">
        <v>1866</v>
      </c>
      <c r="CK98" s="2" t="s">
        <v>3350</v>
      </c>
      <c r="CL98" s="2" t="s">
        <v>3544</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3507</v>
      </c>
      <c r="DH98" t="s">
        <v>3457</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3325</v>
      </c>
      <c r="CJ99" s="2" t="s">
        <v>1866</v>
      </c>
      <c r="CK99" s="2" t="s">
        <v>720</v>
      </c>
      <c r="CL99" s="2" t="s">
        <v>3545</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3328</v>
      </c>
      <c r="DG99" t="s">
        <v>3508</v>
      </c>
      <c r="DH99" t="s">
        <v>3458</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3325</v>
      </c>
      <c r="CJ100" s="2" t="s">
        <v>1866</v>
      </c>
      <c r="CK100" s="2" t="s">
        <v>532</v>
      </c>
      <c r="CL100" s="2" t="s">
        <v>3546</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3328</v>
      </c>
      <c r="DG100" t="s">
        <v>3508</v>
      </c>
      <c r="DH100" t="s">
        <v>3459</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3325</v>
      </c>
      <c r="CJ101" s="2" t="s">
        <v>1866</v>
      </c>
      <c r="CK101" s="2" t="s">
        <v>542</v>
      </c>
      <c r="CL101" s="2" t="s">
        <v>3547</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3509</v>
      </c>
      <c r="DH101" t="s">
        <v>3460</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3325</v>
      </c>
      <c r="CJ102" s="2" t="s">
        <v>1866</v>
      </c>
      <c r="CK102" s="2" t="s">
        <v>3351</v>
      </c>
      <c r="CL102" s="2" t="s">
        <v>3548</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3509</v>
      </c>
      <c r="DH102" t="s">
        <v>3461</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3325</v>
      </c>
      <c r="CJ103" s="2" t="s">
        <v>1866</v>
      </c>
      <c r="CK103" s="2" t="s">
        <v>446</v>
      </c>
      <c r="CL103" s="2" t="s">
        <v>3545</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3510</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3325</v>
      </c>
      <c r="CJ104" s="2" t="s">
        <v>1866</v>
      </c>
      <c r="CK104" s="2" t="s">
        <v>3352</v>
      </c>
      <c r="CL104" s="2" t="s">
        <v>3548</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3329</v>
      </c>
      <c r="DG104" t="s">
        <v>3511</v>
      </c>
      <c r="DH104" t="s">
        <v>3462</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3325</v>
      </c>
      <c r="CJ105" s="2" t="s">
        <v>1866</v>
      </c>
      <c r="CK105" s="2" t="s">
        <v>534</v>
      </c>
      <c r="CL105" s="2" t="s">
        <v>3549</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3329</v>
      </c>
      <c r="DG105" t="s">
        <v>3511</v>
      </c>
      <c r="DH105" t="s">
        <v>3463</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3325</v>
      </c>
      <c r="CJ106" s="2" t="s">
        <v>1866</v>
      </c>
      <c r="CK106" s="2" t="s">
        <v>3353</v>
      </c>
      <c r="CL106" s="2" t="s">
        <v>3548</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3330</v>
      </c>
      <c r="DG106" t="s">
        <v>3512</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3325</v>
      </c>
      <c r="CJ107" s="2" t="s">
        <v>1866</v>
      </c>
      <c r="CK107" s="2" t="s">
        <v>448</v>
      </c>
      <c r="CL107" s="2" t="s">
        <v>3545</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3330</v>
      </c>
      <c r="DG107" t="s">
        <v>3512</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3325</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3330</v>
      </c>
      <c r="DG108" t="s">
        <v>3512</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3325</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3330</v>
      </c>
      <c r="DG109" t="s">
        <v>3512</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3325</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3330</v>
      </c>
      <c r="DG110" t="s">
        <v>3512</v>
      </c>
      <c r="DH110" t="s">
        <v>3464</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3350</v>
      </c>
      <c r="CL111" s="2" t="s">
        <v>3544</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3330</v>
      </c>
      <c r="DG111" t="s">
        <v>3512</v>
      </c>
      <c r="DH111" t="s">
        <v>3465</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3545</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3513</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3546</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3513</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3547</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3513</v>
      </c>
      <c r="DH114" t="s">
        <v>3464</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3351</v>
      </c>
      <c r="CL115" s="2" t="s">
        <v>3548</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3513</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3545</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3514</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3352</v>
      </c>
      <c r="CL117" s="2" t="s">
        <v>3548</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3514</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3549</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3515</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3353</v>
      </c>
      <c r="CL119" s="2" t="s">
        <v>3548</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3515</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3545</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3515</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3515</v>
      </c>
      <c r="DH121" t="s">
        <v>3428</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3516</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3516</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3326</v>
      </c>
      <c r="CJ124" s="2" t="s">
        <v>1861</v>
      </c>
      <c r="CK124" s="2" t="s">
        <v>3350</v>
      </c>
      <c r="CL124" s="2" t="s">
        <v>3544</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3516</v>
      </c>
      <c r="DH124" t="s">
        <v>3429</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3326</v>
      </c>
      <c r="CJ125" s="2" t="s">
        <v>1861</v>
      </c>
      <c r="CK125" s="2" t="s">
        <v>720</v>
      </c>
      <c r="CL125" s="2" t="s">
        <v>3545</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3516</v>
      </c>
      <c r="DH125" t="s">
        <v>3430</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3326</v>
      </c>
      <c r="CJ126" s="2" t="s">
        <v>1861</v>
      </c>
      <c r="CK126" s="2" t="s">
        <v>532</v>
      </c>
      <c r="CL126" s="2" t="s">
        <v>3546</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3517</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3326</v>
      </c>
      <c r="CJ127" s="2" t="s">
        <v>1861</v>
      </c>
      <c r="CK127" s="2" t="s">
        <v>542</v>
      </c>
      <c r="CL127" s="2" t="s">
        <v>3547</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3517</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3326</v>
      </c>
      <c r="CJ128" s="2" t="s">
        <v>1861</v>
      </c>
      <c r="CK128" s="2" t="s">
        <v>3351</v>
      </c>
      <c r="CL128" s="2" t="s">
        <v>3548</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3517</v>
      </c>
      <c r="DH128" t="s">
        <v>3464</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3326</v>
      </c>
      <c r="CJ129" s="2" t="s">
        <v>1861</v>
      </c>
      <c r="CK129" s="2" t="s">
        <v>446</v>
      </c>
      <c r="CL129" s="2" t="s">
        <v>3545</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3517</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3326</v>
      </c>
      <c r="CJ130" s="2" t="s">
        <v>1861</v>
      </c>
      <c r="CK130" s="2" t="s">
        <v>3352</v>
      </c>
      <c r="CL130" s="2" t="s">
        <v>3548</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3517</v>
      </c>
      <c r="DH130" t="s">
        <v>3465</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3326</v>
      </c>
      <c r="CJ131" s="2" t="s">
        <v>1861</v>
      </c>
      <c r="CK131" s="2" t="s">
        <v>534</v>
      </c>
      <c r="CL131" s="2" t="s">
        <v>3549</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3518</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3326</v>
      </c>
      <c r="CJ132" s="2" t="s">
        <v>1861</v>
      </c>
      <c r="CK132" s="2" t="s">
        <v>3353</v>
      </c>
      <c r="CL132" s="2" t="s">
        <v>3548</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3518</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3326</v>
      </c>
      <c r="CJ133" s="2" t="s">
        <v>1861</v>
      </c>
      <c r="CK133" s="2" t="s">
        <v>448</v>
      </c>
      <c r="CL133" s="2" t="s">
        <v>3545</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3518</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3326</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3519</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3326</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3519</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3326</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3519</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3327</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3519</v>
      </c>
      <c r="DH137" t="s">
        <v>3466</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3327</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3519</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3327</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3519</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3354</v>
      </c>
      <c r="CL140" s="2" t="s">
        <v>3546</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3520</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3355</v>
      </c>
      <c r="CL141" s="2" t="s">
        <v>3544</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3521</v>
      </c>
      <c r="DH141" t="s">
        <v>3467</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3545</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3521</v>
      </c>
      <c r="DH142" t="s">
        <v>3468</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3522</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3522</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3549</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3522</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3356</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3523</v>
      </c>
      <c r="DH146" t="s">
        <v>3469</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3547</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3523</v>
      </c>
      <c r="DH147" t="s">
        <v>3470</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3357</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3524</v>
      </c>
      <c r="DH148" t="s">
        <v>3471</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3351</v>
      </c>
      <c r="CL149" s="2" t="s">
        <v>3548</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3524</v>
      </c>
      <c r="DH149" t="s">
        <v>3472</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3352</v>
      </c>
      <c r="CL150" s="2" t="s">
        <v>3548</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3525</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3358</v>
      </c>
      <c r="CL151" s="2" t="s">
        <v>3549</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3525</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3359</v>
      </c>
      <c r="CL152" s="2" t="s">
        <v>3545</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3525</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3360</v>
      </c>
      <c r="CL153" s="2" t="s">
        <v>3546</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3525</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3361</v>
      </c>
      <c r="CL154" s="2" t="s">
        <v>3545</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3526</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3353</v>
      </c>
      <c r="CL155" s="2" t="s">
        <v>3548</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3526</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3362</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3526</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3545</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3526</v>
      </c>
      <c r="DH157" t="s">
        <v>3428</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3550</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3527</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3551</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3527</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3552</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3527</v>
      </c>
      <c r="DH160" t="s">
        <v>3429</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3527</v>
      </c>
      <c r="DH161" t="s">
        <v>3430</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3351</v>
      </c>
      <c r="CL162" s="2" t="s">
        <v>3548</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3528</v>
      </c>
      <c r="DH162" t="s">
        <v>3473</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3545</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3528</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3352</v>
      </c>
      <c r="CL164" s="2" t="s">
        <v>3548</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3529</v>
      </c>
      <c r="DH164" t="s">
        <v>3474</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3553</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3529</v>
      </c>
      <c r="DH165" t="s">
        <v>3475</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3353</v>
      </c>
      <c r="CL166" s="2" t="s">
        <v>3548</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3530</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3545</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3531</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3545</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3531</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3363</v>
      </c>
      <c r="CL169" s="2" t="s">
        <v>3544</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3532</v>
      </c>
      <c r="DH169" t="s">
        <v>3476</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3351</v>
      </c>
      <c r="CL170" s="2" t="s">
        <v>3548</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3532</v>
      </c>
      <c r="DH170" t="s">
        <v>3477</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3352</v>
      </c>
      <c r="CL171" s="2" t="s">
        <v>3548</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3331</v>
      </c>
      <c r="DG171" t="s">
        <v>3533</v>
      </c>
      <c r="DH171" t="s">
        <v>3478</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3554</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3331</v>
      </c>
      <c r="DG172" t="s">
        <v>3533</v>
      </c>
      <c r="DH172" t="s">
        <v>3479</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3555</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3534</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3556</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3353</v>
      </c>
      <c r="CL175" s="2" t="s">
        <v>3548</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3549</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3350</v>
      </c>
      <c r="CL177" s="2" t="s">
        <v>3544</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3545</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3546</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3547</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3351</v>
      </c>
      <c r="CL181" s="2" t="s">
        <v>3548</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3545</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3352</v>
      </c>
      <c r="CL183" s="2" t="s">
        <v>3548</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3549</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3353</v>
      </c>
      <c r="CL185" s="2" t="s">
        <v>3548</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3545</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3350</v>
      </c>
      <c r="CL190" s="2" t="s">
        <v>3544</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3545</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3546</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3547</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3351</v>
      </c>
      <c r="CL194" s="2" t="s">
        <v>3548</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3545</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3352</v>
      </c>
      <c r="CL196" s="2" t="s">
        <v>3548</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3549</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3353</v>
      </c>
      <c r="CL198" s="2" t="s">
        <v>3548</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3545</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3354</v>
      </c>
      <c r="CL203" s="2" t="s">
        <v>3546</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3355</v>
      </c>
      <c r="CL204" s="2" t="s">
        <v>3544</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3545</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3549</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3356</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3547</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3357</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3351</v>
      </c>
      <c r="CL212" s="2" t="s">
        <v>3548</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3352</v>
      </c>
      <c r="CL213" s="2" t="s">
        <v>3548</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3358</v>
      </c>
      <c r="CL214" s="2" t="s">
        <v>3549</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3328</v>
      </c>
      <c r="E215" s="346" t="s">
        <v>726</v>
      </c>
      <c r="F215" s="346" t="s">
        <v>451</v>
      </c>
      <c r="G215" s="347">
        <v>65</v>
      </c>
      <c r="H215" s="346" t="s">
        <v>119</v>
      </c>
      <c r="I215" s="348">
        <v>125</v>
      </c>
      <c r="J215" s="353"/>
      <c r="CG215" s="2" t="s">
        <v>255</v>
      </c>
      <c r="CH215" s="2" t="s">
        <v>255</v>
      </c>
      <c r="CI215" s="2" t="s">
        <v>1219</v>
      </c>
      <c r="CJ215" s="2" t="s">
        <v>1799</v>
      </c>
      <c r="CK215" s="2" t="s">
        <v>3359</v>
      </c>
      <c r="CL215" s="2" t="s">
        <v>3545</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3328</v>
      </c>
      <c r="E216" s="346" t="s">
        <v>727</v>
      </c>
      <c r="F216" s="4" t="s">
        <v>453</v>
      </c>
      <c r="G216" s="343">
        <v>72.5</v>
      </c>
      <c r="H216" s="4" t="s">
        <v>119</v>
      </c>
      <c r="I216" s="344">
        <v>160</v>
      </c>
      <c r="J216" s="345"/>
      <c r="CG216" s="2" t="s">
        <v>255</v>
      </c>
      <c r="CH216" s="2" t="s">
        <v>255</v>
      </c>
      <c r="CI216" s="2" t="s">
        <v>1219</v>
      </c>
      <c r="CJ216" s="2" t="s">
        <v>1799</v>
      </c>
      <c r="CK216" s="2" t="s">
        <v>3360</v>
      </c>
      <c r="CL216" s="2" t="s">
        <v>3546</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3328</v>
      </c>
      <c r="E217" s="346" t="s">
        <v>394</v>
      </c>
      <c r="F217" s="346" t="s">
        <v>455</v>
      </c>
      <c r="G217" s="347">
        <v>80</v>
      </c>
      <c r="H217" s="346" t="s">
        <v>119</v>
      </c>
      <c r="I217" s="348">
        <v>170</v>
      </c>
      <c r="J217" s="353"/>
      <c r="CG217" s="2" t="s">
        <v>255</v>
      </c>
      <c r="CH217" s="2" t="s">
        <v>255</v>
      </c>
      <c r="CI217" s="2" t="s">
        <v>1219</v>
      </c>
      <c r="CJ217" s="2" t="s">
        <v>1799</v>
      </c>
      <c r="CK217" s="2" t="s">
        <v>3361</v>
      </c>
      <c r="CL217" s="2" t="s">
        <v>3545</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3328</v>
      </c>
      <c r="E218" s="346" t="s">
        <v>728</v>
      </c>
      <c r="F218" s="4" t="s">
        <v>457</v>
      </c>
      <c r="G218" s="343">
        <v>90</v>
      </c>
      <c r="H218" s="4" t="s">
        <v>119</v>
      </c>
      <c r="I218" s="344">
        <v>180</v>
      </c>
      <c r="J218" s="345"/>
      <c r="CG218" s="2" t="s">
        <v>255</v>
      </c>
      <c r="CH218" s="2" t="s">
        <v>255</v>
      </c>
      <c r="CI218" s="2" t="s">
        <v>1219</v>
      </c>
      <c r="CJ218" s="2" t="s">
        <v>1799</v>
      </c>
      <c r="CK218" s="2" t="s">
        <v>3353</v>
      </c>
      <c r="CL218" s="2" t="s">
        <v>3548</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3328</v>
      </c>
      <c r="E219" s="346" t="s">
        <v>729</v>
      </c>
      <c r="F219" s="346" t="s">
        <v>459</v>
      </c>
      <c r="G219" s="347">
        <v>105</v>
      </c>
      <c r="H219" s="346" t="s">
        <v>119</v>
      </c>
      <c r="I219" s="348">
        <v>190</v>
      </c>
      <c r="J219" s="353"/>
      <c r="CG219" s="2" t="s">
        <v>255</v>
      </c>
      <c r="CH219" s="2" t="s">
        <v>255</v>
      </c>
      <c r="CI219" s="2" t="s">
        <v>311</v>
      </c>
      <c r="CJ219" s="2" t="s">
        <v>1796</v>
      </c>
      <c r="CK219" s="2" t="s">
        <v>3350</v>
      </c>
      <c r="CL219" s="2" t="s">
        <v>3544</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3328</v>
      </c>
      <c r="E220" s="346" t="s">
        <v>730</v>
      </c>
      <c r="F220" s="4" t="s">
        <v>461</v>
      </c>
      <c r="G220" s="343">
        <v>107.5</v>
      </c>
      <c r="H220" s="4" t="s">
        <v>119</v>
      </c>
      <c r="I220" s="344">
        <v>210</v>
      </c>
      <c r="J220" s="345"/>
      <c r="CG220" s="2" t="s">
        <v>255</v>
      </c>
      <c r="CH220" s="2" t="s">
        <v>255</v>
      </c>
      <c r="CI220" s="2" t="s">
        <v>311</v>
      </c>
      <c r="CJ220" s="2" t="s">
        <v>1796</v>
      </c>
      <c r="CK220" s="2" t="s">
        <v>720</v>
      </c>
      <c r="CL220" s="2" t="s">
        <v>3545</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3328</v>
      </c>
      <c r="E221" s="346" t="s">
        <v>731</v>
      </c>
      <c r="F221" s="346" t="s">
        <v>463</v>
      </c>
      <c r="G221" s="347">
        <v>65</v>
      </c>
      <c r="H221" s="346" t="s">
        <v>119</v>
      </c>
      <c r="I221" s="348">
        <v>125</v>
      </c>
      <c r="J221" s="353"/>
      <c r="CG221" s="2" t="s">
        <v>255</v>
      </c>
      <c r="CH221" s="2" t="s">
        <v>255</v>
      </c>
      <c r="CI221" s="2" t="s">
        <v>311</v>
      </c>
      <c r="CJ221" s="2" t="s">
        <v>1796</v>
      </c>
      <c r="CK221" s="2" t="s">
        <v>532</v>
      </c>
      <c r="CL221" s="2" t="s">
        <v>3546</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3328</v>
      </c>
      <c r="E222" s="346" t="s">
        <v>732</v>
      </c>
      <c r="F222" s="4" t="s">
        <v>465</v>
      </c>
      <c r="G222" s="343">
        <v>75</v>
      </c>
      <c r="H222" s="4" t="s">
        <v>119</v>
      </c>
      <c r="I222" s="344">
        <v>140</v>
      </c>
      <c r="J222" s="345"/>
      <c r="CG222" s="2" t="s">
        <v>255</v>
      </c>
      <c r="CH222" s="2" t="s">
        <v>255</v>
      </c>
      <c r="CI222" s="2" t="s">
        <v>311</v>
      </c>
      <c r="CJ222" s="2" t="s">
        <v>1796</v>
      </c>
      <c r="CK222" s="2" t="s">
        <v>542</v>
      </c>
      <c r="CL222" s="2" t="s">
        <v>3547</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3328</v>
      </c>
      <c r="E223" s="346" t="s">
        <v>733</v>
      </c>
      <c r="F223" s="346" t="s">
        <v>467</v>
      </c>
      <c r="G223" s="347">
        <v>80</v>
      </c>
      <c r="H223" s="346" t="s">
        <v>119</v>
      </c>
      <c r="I223" s="348">
        <v>160</v>
      </c>
      <c r="J223" s="353"/>
      <c r="CG223" s="2" t="s">
        <v>255</v>
      </c>
      <c r="CH223" s="2" t="s">
        <v>255</v>
      </c>
      <c r="CI223" s="2" t="s">
        <v>311</v>
      </c>
      <c r="CJ223" s="2" t="s">
        <v>1796</v>
      </c>
      <c r="CK223" s="2" t="s">
        <v>3351</v>
      </c>
      <c r="CL223" s="2" t="s">
        <v>3548</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3328</v>
      </c>
      <c r="E224" s="4" t="s">
        <v>734</v>
      </c>
      <c r="F224" s="4" t="s">
        <v>469</v>
      </c>
      <c r="G224" s="343">
        <v>90</v>
      </c>
      <c r="H224" s="4" t="s">
        <v>119</v>
      </c>
      <c r="I224" s="344">
        <v>170</v>
      </c>
      <c r="J224" s="345"/>
      <c r="CG224" s="2" t="s">
        <v>255</v>
      </c>
      <c r="CH224" s="2" t="s">
        <v>255</v>
      </c>
      <c r="CI224" s="2" t="s">
        <v>311</v>
      </c>
      <c r="CJ224" s="2" t="s">
        <v>1796</v>
      </c>
      <c r="CK224" s="2" t="s">
        <v>446</v>
      </c>
      <c r="CL224" s="2" t="s">
        <v>3545</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3328</v>
      </c>
      <c r="E225" s="346" t="s">
        <v>735</v>
      </c>
      <c r="F225" s="346" t="s">
        <v>471</v>
      </c>
      <c r="G225" s="347">
        <v>105</v>
      </c>
      <c r="H225" s="346" t="s">
        <v>119</v>
      </c>
      <c r="I225" s="348">
        <v>180</v>
      </c>
      <c r="J225" s="353"/>
      <c r="CG225" s="2" t="s">
        <v>255</v>
      </c>
      <c r="CH225" s="2" t="s">
        <v>255</v>
      </c>
      <c r="CI225" s="2" t="s">
        <v>311</v>
      </c>
      <c r="CJ225" s="2" t="s">
        <v>1796</v>
      </c>
      <c r="CK225" s="2" t="s">
        <v>3352</v>
      </c>
      <c r="CL225" s="2" t="s">
        <v>3548</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3328</v>
      </c>
      <c r="E226" s="4" t="s">
        <v>736</v>
      </c>
      <c r="F226" s="4" t="s">
        <v>473</v>
      </c>
      <c r="G226" s="343">
        <v>65</v>
      </c>
      <c r="H226" s="4" t="s">
        <v>119</v>
      </c>
      <c r="I226" s="344">
        <v>105</v>
      </c>
      <c r="J226" s="345"/>
      <c r="CG226" s="2" t="s">
        <v>255</v>
      </c>
      <c r="CH226" s="2" t="s">
        <v>255</v>
      </c>
      <c r="CI226" s="2" t="s">
        <v>311</v>
      </c>
      <c r="CJ226" s="2" t="s">
        <v>1796</v>
      </c>
      <c r="CK226" s="2" t="s">
        <v>534</v>
      </c>
      <c r="CL226" s="2" t="s">
        <v>3549</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3328</v>
      </c>
      <c r="E227" s="346" t="s">
        <v>737</v>
      </c>
      <c r="F227" s="346" t="s">
        <v>475</v>
      </c>
      <c r="G227" s="347">
        <v>75</v>
      </c>
      <c r="H227" s="346" t="s">
        <v>119</v>
      </c>
      <c r="I227" s="348">
        <v>125</v>
      </c>
      <c r="J227" s="353"/>
      <c r="CG227" s="2" t="s">
        <v>255</v>
      </c>
      <c r="CH227" s="2" t="s">
        <v>255</v>
      </c>
      <c r="CI227" s="2" t="s">
        <v>311</v>
      </c>
      <c r="CJ227" s="2" t="s">
        <v>1796</v>
      </c>
      <c r="CK227" s="2" t="s">
        <v>3353</v>
      </c>
      <c r="CL227" s="2" t="s">
        <v>3548</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3328</v>
      </c>
      <c r="E228" s="4" t="s">
        <v>738</v>
      </c>
      <c r="F228" s="4" t="s">
        <v>477</v>
      </c>
      <c r="G228" s="343">
        <v>80</v>
      </c>
      <c r="H228" s="4" t="s">
        <v>119</v>
      </c>
      <c r="I228" s="344">
        <v>135</v>
      </c>
      <c r="J228" s="345"/>
      <c r="CG228" s="2" t="s">
        <v>255</v>
      </c>
      <c r="CH228" s="2" t="s">
        <v>255</v>
      </c>
      <c r="CI228" s="2" t="s">
        <v>311</v>
      </c>
      <c r="CJ228" s="2" t="s">
        <v>1796</v>
      </c>
      <c r="CK228" s="2" t="s">
        <v>448</v>
      </c>
      <c r="CL228" s="2" t="s">
        <v>3545</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3328</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3328</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3328</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3328</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3328</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3328</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3328</v>
      </c>
      <c r="E235" s="346" t="s">
        <v>745</v>
      </c>
      <c r="F235" s="346" t="s">
        <v>491</v>
      </c>
      <c r="G235" s="347">
        <v>90</v>
      </c>
      <c r="H235" s="346" t="s">
        <v>119</v>
      </c>
      <c r="I235" s="348">
        <v>180</v>
      </c>
      <c r="J235" s="353"/>
      <c r="CG235" s="2" t="s">
        <v>262</v>
      </c>
      <c r="CH235" s="2" t="s">
        <v>262</v>
      </c>
      <c r="CI235" s="2" t="s">
        <v>1205</v>
      </c>
      <c r="CJ235" s="2" t="s">
        <v>1750</v>
      </c>
      <c r="CK235" s="2" t="s">
        <v>3350</v>
      </c>
      <c r="CL235" s="2" t="s">
        <v>3544</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3328</v>
      </c>
      <c r="E236" s="4" t="s">
        <v>746</v>
      </c>
      <c r="F236" s="4" t="s">
        <v>493</v>
      </c>
      <c r="G236" s="343">
        <v>105</v>
      </c>
      <c r="H236" s="4" t="s">
        <v>119</v>
      </c>
      <c r="I236" s="344">
        <v>190</v>
      </c>
      <c r="J236" s="345"/>
      <c r="CG236" s="2" t="s">
        <v>262</v>
      </c>
      <c r="CH236" s="2" t="s">
        <v>262</v>
      </c>
      <c r="CI236" s="2" t="s">
        <v>1205</v>
      </c>
      <c r="CJ236" s="2" t="s">
        <v>1750</v>
      </c>
      <c r="CK236" s="2" t="s">
        <v>720</v>
      </c>
      <c r="CL236" s="2" t="s">
        <v>3545</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3546</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3547</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3351</v>
      </c>
      <c r="CL239" s="2" t="s">
        <v>3548</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3545</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3352</v>
      </c>
      <c r="CL241" s="2" t="s">
        <v>3548</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3549</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3353</v>
      </c>
      <c r="CL243" s="2" t="s">
        <v>3548</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3545</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3414</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3423</v>
      </c>
      <c r="E249" s="346" t="s">
        <v>760</v>
      </c>
      <c r="F249" s="346" t="s">
        <v>519</v>
      </c>
      <c r="G249" s="347">
        <v>75</v>
      </c>
      <c r="H249" s="346" t="s">
        <v>119</v>
      </c>
      <c r="I249" s="348">
        <v>135</v>
      </c>
      <c r="J249" s="353"/>
      <c r="CG249" s="2" t="s">
        <v>262</v>
      </c>
      <c r="CH249" s="2" t="s">
        <v>262</v>
      </c>
      <c r="CI249" s="2" t="s">
        <v>1172</v>
      </c>
      <c r="CJ249" s="2" t="s">
        <v>3414</v>
      </c>
      <c r="CK249" s="2" t="s">
        <v>737</v>
      </c>
      <c r="CL249" s="2" t="s">
        <v>3557</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3414</v>
      </c>
      <c r="CK250" s="2" t="s">
        <v>738</v>
      </c>
      <c r="CL250" s="2" t="s">
        <v>3558</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3414</v>
      </c>
      <c r="CK251" s="2" t="s">
        <v>739</v>
      </c>
      <c r="CL251" s="2" t="s">
        <v>3558</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3414</v>
      </c>
      <c r="CK252" s="2" t="s">
        <v>740</v>
      </c>
      <c r="CL252" s="2" t="s">
        <v>3557</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3414</v>
      </c>
      <c r="CK253" s="2" t="s">
        <v>741</v>
      </c>
      <c r="CL253" s="2" t="s">
        <v>3557</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3414</v>
      </c>
      <c r="CK254" s="2" t="s">
        <v>730</v>
      </c>
      <c r="CL254" s="2" t="s">
        <v>3559</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3414</v>
      </c>
      <c r="CK255" s="2" t="s">
        <v>742</v>
      </c>
      <c r="CL255" s="2" t="s">
        <v>3560</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3414</v>
      </c>
      <c r="CK256" s="2" t="s">
        <v>743</v>
      </c>
      <c r="CL256" s="2" t="s">
        <v>3561</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3414</v>
      </c>
      <c r="CK257" s="2" t="s">
        <v>744</v>
      </c>
      <c r="CL257" s="2" t="s">
        <v>3562</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3414</v>
      </c>
      <c r="CK258" s="2" t="s">
        <v>745</v>
      </c>
      <c r="CL258" s="2" t="s">
        <v>3548</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3414</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3414</v>
      </c>
      <c r="CK260" s="2" t="s">
        <v>446</v>
      </c>
      <c r="CL260" s="2" t="s">
        <v>3545</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3414</v>
      </c>
      <c r="CK261" s="2" t="s">
        <v>448</v>
      </c>
      <c r="CL261" s="2" t="s">
        <v>3545</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3414</v>
      </c>
      <c r="CK262" s="2" t="s">
        <v>720</v>
      </c>
      <c r="CL262" s="2" t="s">
        <v>3545</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3414</v>
      </c>
      <c r="CK263" s="2" t="s">
        <v>3351</v>
      </c>
      <c r="CL263" s="2" t="s">
        <v>3548</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3414</v>
      </c>
      <c r="CK264" s="2" t="s">
        <v>3353</v>
      </c>
      <c r="CL264" s="2" t="s">
        <v>3548</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3414</v>
      </c>
      <c r="CK265" s="2" t="s">
        <v>3352</v>
      </c>
      <c r="CL265" s="2" t="s">
        <v>3548</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3335</v>
      </c>
      <c r="CK266" s="2" t="s">
        <v>3362</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3335</v>
      </c>
      <c r="CK267" s="2" t="s">
        <v>720</v>
      </c>
      <c r="CL267" s="2" t="s">
        <v>3545</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3335</v>
      </c>
      <c r="CK268" s="2" t="s">
        <v>580</v>
      </c>
      <c r="CL268" s="2" t="s">
        <v>3550</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3335</v>
      </c>
      <c r="CK269" s="2" t="s">
        <v>329</v>
      </c>
      <c r="CL269" s="2" t="s">
        <v>3551</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3335</v>
      </c>
      <c r="CK270" s="2" t="s">
        <v>578</v>
      </c>
      <c r="CL270" s="2" t="s">
        <v>3552</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3335</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3335</v>
      </c>
      <c r="CK272" s="2" t="s">
        <v>3351</v>
      </c>
      <c r="CL272" s="2" t="s">
        <v>3548</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3335</v>
      </c>
      <c r="CK273" s="2" t="s">
        <v>446</v>
      </c>
      <c r="CL273" s="2" t="s">
        <v>3545</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3335</v>
      </c>
      <c r="CK274" s="2" t="s">
        <v>3352</v>
      </c>
      <c r="CL274" s="2" t="s">
        <v>3548</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3335</v>
      </c>
      <c r="CK275" s="2" t="s">
        <v>576</v>
      </c>
      <c r="CL275" s="2" t="s">
        <v>3553</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3335</v>
      </c>
      <c r="CK276" s="2" t="s">
        <v>3353</v>
      </c>
      <c r="CL276" s="2" t="s">
        <v>3548</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3335</v>
      </c>
      <c r="CK277" s="2" t="s">
        <v>448</v>
      </c>
      <c r="CL277" s="2" t="s">
        <v>3545</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3336</v>
      </c>
      <c r="CK278" s="2" t="s">
        <v>720</v>
      </c>
      <c r="CL278" s="2" t="s">
        <v>3545</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3336</v>
      </c>
      <c r="CK279" s="2" t="s">
        <v>3363</v>
      </c>
      <c r="CL279" s="2" t="s">
        <v>3544</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3336</v>
      </c>
      <c r="CK280" s="2" t="s">
        <v>3351</v>
      </c>
      <c r="CL280" s="2" t="s">
        <v>3548</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3336</v>
      </c>
      <c r="CK281" s="2" t="s">
        <v>3352</v>
      </c>
      <c r="CL281" s="2" t="s">
        <v>3548</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3336</v>
      </c>
      <c r="CK282" s="2" t="s">
        <v>567</v>
      </c>
      <c r="CL282" s="2" t="s">
        <v>3554</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3336</v>
      </c>
      <c r="CK283" s="2" t="s">
        <v>571</v>
      </c>
      <c r="CL283" s="2" t="s">
        <v>3555</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3336</v>
      </c>
      <c r="CK284" s="2" t="s">
        <v>573</v>
      </c>
      <c r="CL284" s="2" t="s">
        <v>3556</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3336</v>
      </c>
      <c r="CK285" s="2" t="s">
        <v>3353</v>
      </c>
      <c r="CL285" s="2" t="s">
        <v>3548</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3336</v>
      </c>
      <c r="CK286" s="2" t="s">
        <v>569</v>
      </c>
      <c r="CL286" s="2" t="s">
        <v>3549</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3337</v>
      </c>
      <c r="CK287" s="2" t="s">
        <v>3350</v>
      </c>
      <c r="CL287" s="2" t="s">
        <v>3544</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3337</v>
      </c>
      <c r="CK288" s="2" t="s">
        <v>720</v>
      </c>
      <c r="CL288" s="2" t="s">
        <v>3545</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3337</v>
      </c>
      <c r="CK289" s="2" t="s">
        <v>532</v>
      </c>
      <c r="CL289" s="2" t="s">
        <v>3546</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3337</v>
      </c>
      <c r="CK290" s="2" t="s">
        <v>542</v>
      </c>
      <c r="CL290" s="2" t="s">
        <v>3547</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3337</v>
      </c>
      <c r="CK291" s="2" t="s">
        <v>3351</v>
      </c>
      <c r="CL291" s="2" t="s">
        <v>3548</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3337</v>
      </c>
      <c r="CK292" s="2" t="s">
        <v>446</v>
      </c>
      <c r="CL292" s="2" t="s">
        <v>3545</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3337</v>
      </c>
      <c r="CK293" s="2" t="s">
        <v>3352</v>
      </c>
      <c r="CL293" s="2" t="s">
        <v>3548</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3337</v>
      </c>
      <c r="CK294" s="2" t="s">
        <v>534</v>
      </c>
      <c r="CL294" s="2" t="s">
        <v>3549</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3337</v>
      </c>
      <c r="CK295" s="2" t="s">
        <v>3353</v>
      </c>
      <c r="CL295" s="2" t="s">
        <v>3548</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3337</v>
      </c>
      <c r="CK296" s="2" t="s">
        <v>448</v>
      </c>
      <c r="CL296" s="2" t="s">
        <v>3545</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3337</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3337</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3337</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3354</v>
      </c>
      <c r="CL300" s="2" t="s">
        <v>3546</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3355</v>
      </c>
      <c r="CL301" s="2" t="s">
        <v>3544</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3545</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3549</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3356</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3547</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3357</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3351</v>
      </c>
      <c r="CL309" s="2" t="s">
        <v>3548</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3352</v>
      </c>
      <c r="CL310" s="2" t="s">
        <v>3548</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3358</v>
      </c>
      <c r="CL311" s="2" t="s">
        <v>3549</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3359</v>
      </c>
      <c r="CL312" s="2" t="s">
        <v>3545</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3360</v>
      </c>
      <c r="CL313" s="2" t="s">
        <v>3546</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3361</v>
      </c>
      <c r="CL314" s="2" t="s">
        <v>3545</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3353</v>
      </c>
      <c r="CL315" s="2" t="s">
        <v>3548</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3354</v>
      </c>
      <c r="CL316" s="2" t="s">
        <v>3546</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3355</v>
      </c>
      <c r="CL317" s="2" t="s">
        <v>3544</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3350</v>
      </c>
      <c r="CL318" s="2" t="s">
        <v>3544</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3545</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3549</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3356</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3547</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3546</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3357</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3547</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3351</v>
      </c>
      <c r="CL328" s="2" t="s">
        <v>3548</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3545</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3352</v>
      </c>
      <c r="CL330" s="2" t="s">
        <v>3548</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3358</v>
      </c>
      <c r="CL331" s="2" t="s">
        <v>3549</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3359</v>
      </c>
      <c r="CL332" s="2" t="s">
        <v>3545</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3360</v>
      </c>
      <c r="CL333" s="2" t="s">
        <v>3546</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3361</v>
      </c>
      <c r="CL334" s="2" t="s">
        <v>3545</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3549</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3353</v>
      </c>
      <c r="CL336" s="2" t="s">
        <v>3548</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3545</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3350</v>
      </c>
      <c r="CL341" s="2" t="s">
        <v>3544</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3364</v>
      </c>
      <c r="CL342" s="2" t="s">
        <v>3560</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3545</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3365</v>
      </c>
      <c r="CL344" s="2" t="s">
        <v>3563</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3546</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3560</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3548</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3562</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3547</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3351</v>
      </c>
      <c r="CL350" s="2" t="s">
        <v>3548</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3545</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3352</v>
      </c>
      <c r="CL352" s="2" t="s">
        <v>3548</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3549</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3561</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3353</v>
      </c>
      <c r="CL355" s="2" t="s">
        <v>3548</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3545</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3366</v>
      </c>
      <c r="CL357" s="2" t="s">
        <v>3564</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3367</v>
      </c>
      <c r="CL359" s="2" t="s">
        <v>3563</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3350</v>
      </c>
      <c r="CL362" s="2" t="s">
        <v>3544</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3545</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3546</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3547</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3351</v>
      </c>
      <c r="CL366" s="2" t="s">
        <v>3548</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3545</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3352</v>
      </c>
      <c r="CL368" s="2" t="s">
        <v>3548</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3549</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3353</v>
      </c>
      <c r="CL370" s="2" t="s">
        <v>3548</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3545</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3415</v>
      </c>
      <c r="CK375" s="2" t="s">
        <v>3368</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3415</v>
      </c>
      <c r="CK376" s="2" t="s">
        <v>3369</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3415</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3415</v>
      </c>
      <c r="CK378" s="2" t="s">
        <v>3370</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3415</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3415</v>
      </c>
      <c r="CK380" s="2" t="s">
        <v>3371</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3415</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3332</v>
      </c>
      <c r="CI382" s="2" t="s">
        <v>3328</v>
      </c>
      <c r="CJ382" s="2" t="s">
        <v>3328</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3332</v>
      </c>
      <c r="CI383" s="2" t="s">
        <v>3328</v>
      </c>
      <c r="CJ383" s="2" t="s">
        <v>3328</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3332</v>
      </c>
      <c r="CI384" s="2" t="s">
        <v>3328</v>
      </c>
      <c r="CJ384" s="2" t="s">
        <v>3328</v>
      </c>
      <c r="CK384" s="2" t="s">
        <v>394</v>
      </c>
      <c r="CL384" s="2" t="s">
        <v>3565</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3332</v>
      </c>
      <c r="CI385" s="2" t="s">
        <v>3328</v>
      </c>
      <c r="CJ385" s="2" t="s">
        <v>3328</v>
      </c>
      <c r="CK385" s="2" t="s">
        <v>728</v>
      </c>
      <c r="CL385" s="2" t="s">
        <v>3565</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3332</v>
      </c>
      <c r="CI386" s="2" t="s">
        <v>3328</v>
      </c>
      <c r="CJ386" s="2" t="s">
        <v>3328</v>
      </c>
      <c r="CK386" s="2" t="s">
        <v>729</v>
      </c>
      <c r="CL386" s="2" t="s">
        <v>3565</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3332</v>
      </c>
      <c r="CI387" s="2" t="s">
        <v>3328</v>
      </c>
      <c r="CJ387" s="2" t="s">
        <v>3328</v>
      </c>
      <c r="CK387" s="2" t="s">
        <v>730</v>
      </c>
      <c r="CL387" s="2" t="s">
        <v>3559</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3332</v>
      </c>
      <c r="CI388" s="2" t="s">
        <v>3328</v>
      </c>
      <c r="CJ388" s="2" t="s">
        <v>3328</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3332</v>
      </c>
      <c r="CI389" s="2" t="s">
        <v>3328</v>
      </c>
      <c r="CJ389" s="2" t="s">
        <v>3328</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3332</v>
      </c>
      <c r="CI390" s="2" t="s">
        <v>3328</v>
      </c>
      <c r="CJ390" s="2" t="s">
        <v>3328</v>
      </c>
      <c r="CK390" s="2" t="s">
        <v>733</v>
      </c>
      <c r="CL390" s="2" t="s">
        <v>3565</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3332</v>
      </c>
      <c r="CI391" s="2" t="s">
        <v>3328</v>
      </c>
      <c r="CJ391" s="2" t="s">
        <v>3328</v>
      </c>
      <c r="CK391" s="2" t="s">
        <v>734</v>
      </c>
      <c r="CL391" s="2" t="s">
        <v>3565</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3332</v>
      </c>
      <c r="CI392" s="2" t="s">
        <v>3328</v>
      </c>
      <c r="CJ392" s="2" t="s">
        <v>3328</v>
      </c>
      <c r="CK392" s="2" t="s">
        <v>735</v>
      </c>
      <c r="CL392" s="2" t="s">
        <v>3565</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3332</v>
      </c>
      <c r="CI393" s="2" t="s">
        <v>3328</v>
      </c>
      <c r="CJ393" s="2" t="s">
        <v>3328</v>
      </c>
      <c r="CK393" s="2" t="s">
        <v>446</v>
      </c>
      <c r="CL393" s="2" t="s">
        <v>3545</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3332</v>
      </c>
      <c r="CI394" s="2" t="s">
        <v>3328</v>
      </c>
      <c r="CJ394" s="2" t="s">
        <v>3328</v>
      </c>
      <c r="CK394" s="2" t="s">
        <v>448</v>
      </c>
      <c r="CL394" s="2" t="s">
        <v>3545</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3332</v>
      </c>
      <c r="CI395" s="2" t="s">
        <v>3328</v>
      </c>
      <c r="CJ395" s="2" t="s">
        <v>3328</v>
      </c>
      <c r="CK395" s="2" t="s">
        <v>720</v>
      </c>
      <c r="CL395" s="2" t="s">
        <v>3545</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3332</v>
      </c>
      <c r="CI396" s="2" t="s">
        <v>3328</v>
      </c>
      <c r="CJ396" s="2" t="s">
        <v>3328</v>
      </c>
      <c r="CK396" s="2" t="s">
        <v>3351</v>
      </c>
      <c r="CL396" s="2" t="s">
        <v>3548</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3332</v>
      </c>
      <c r="CI397" s="2" t="s">
        <v>3328</v>
      </c>
      <c r="CJ397" s="2" t="s">
        <v>3328</v>
      </c>
      <c r="CK397" s="2" t="s">
        <v>3353</v>
      </c>
      <c r="CL397" s="2" t="s">
        <v>3548</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3332</v>
      </c>
      <c r="CI398" s="2" t="s">
        <v>3328</v>
      </c>
      <c r="CJ398" s="2" t="s">
        <v>3328</v>
      </c>
      <c r="CK398" s="2" t="s">
        <v>3352</v>
      </c>
      <c r="CL398" s="2" t="s">
        <v>3548</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3332</v>
      </c>
      <c r="CI399" s="2" t="s">
        <v>3328</v>
      </c>
      <c r="CJ399" s="2" t="s">
        <v>3328</v>
      </c>
      <c r="CK399" s="2" t="s">
        <v>3372</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3332</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3332</v>
      </c>
      <c r="CI401" s="2" t="s">
        <v>1174</v>
      </c>
      <c r="CJ401" s="2" t="s">
        <v>1174</v>
      </c>
      <c r="CK401" s="2" t="s">
        <v>720</v>
      </c>
      <c r="CL401" s="2" t="s">
        <v>3545</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3332</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3332</v>
      </c>
      <c r="CI403" s="2" t="s">
        <v>1174</v>
      </c>
      <c r="CJ403" s="2" t="s">
        <v>1174</v>
      </c>
      <c r="CK403" s="2" t="s">
        <v>3373</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3332</v>
      </c>
      <c r="CI404" s="2" t="s">
        <v>1174</v>
      </c>
      <c r="CJ404" s="2" t="s">
        <v>1174</v>
      </c>
      <c r="CK404" s="2" t="s">
        <v>3374</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3332</v>
      </c>
      <c r="CI405" s="2" t="s">
        <v>1174</v>
      </c>
      <c r="CJ405" s="2" t="s">
        <v>1174</v>
      </c>
      <c r="CK405" s="2" t="s">
        <v>3375</v>
      </c>
      <c r="CL405" s="2" t="s">
        <v>3566</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3332</v>
      </c>
      <c r="CI406" s="2" t="s">
        <v>1174</v>
      </c>
      <c r="CJ406" s="2" t="s">
        <v>1174</v>
      </c>
      <c r="CK406" s="2" t="s">
        <v>3372</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3332</v>
      </c>
      <c r="CI407" s="2" t="s">
        <v>1174</v>
      </c>
      <c r="CJ407" s="2" t="s">
        <v>1174</v>
      </c>
      <c r="CK407" s="2" t="s">
        <v>758</v>
      </c>
      <c r="CL407" s="2" t="s">
        <v>3567</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3332</v>
      </c>
      <c r="CI408" s="2" t="s">
        <v>1174</v>
      </c>
      <c r="CJ408" s="2" t="s">
        <v>1174</v>
      </c>
      <c r="CK408" s="2" t="s">
        <v>3351</v>
      </c>
      <c r="CL408" s="2" t="s">
        <v>3548</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3332</v>
      </c>
      <c r="CI409" s="2" t="s">
        <v>1174</v>
      </c>
      <c r="CJ409" s="2" t="s">
        <v>1174</v>
      </c>
      <c r="CK409" s="2" t="s">
        <v>3352</v>
      </c>
      <c r="CL409" s="2" t="s">
        <v>3548</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3332</v>
      </c>
      <c r="CI410" s="2" t="s">
        <v>1174</v>
      </c>
      <c r="CJ410" s="2" t="s">
        <v>1174</v>
      </c>
      <c r="CK410" s="2" t="s">
        <v>390</v>
      </c>
      <c r="CL410" s="2" t="s">
        <v>3375</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3332</v>
      </c>
      <c r="CI411" s="2" t="s">
        <v>1174</v>
      </c>
      <c r="CJ411" s="2" t="s">
        <v>1174</v>
      </c>
      <c r="CK411" s="2" t="s">
        <v>757</v>
      </c>
      <c r="CL411" s="2" t="s">
        <v>3566</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3332</v>
      </c>
      <c r="CI412" s="2" t="s">
        <v>1174</v>
      </c>
      <c r="CJ412" s="2" t="s">
        <v>1174</v>
      </c>
      <c r="CK412" s="2" t="s">
        <v>3353</v>
      </c>
      <c r="CL412" s="2" t="s">
        <v>3548</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3332</v>
      </c>
      <c r="CI413" s="2" t="s">
        <v>1174</v>
      </c>
      <c r="CJ413" s="2" t="s">
        <v>1174</v>
      </c>
      <c r="CK413" s="2" t="s">
        <v>750</v>
      </c>
      <c r="CL413" s="2" t="s">
        <v>3567</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3332</v>
      </c>
      <c r="CI414" s="2" t="s">
        <v>1174</v>
      </c>
      <c r="CJ414" s="2" t="s">
        <v>1174</v>
      </c>
      <c r="CK414" s="2" t="s">
        <v>3376</v>
      </c>
      <c r="CL414" s="2" t="s">
        <v>3567</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3332</v>
      </c>
      <c r="CI415" s="2" t="s">
        <v>1174</v>
      </c>
      <c r="CJ415" s="2" t="s">
        <v>1174</v>
      </c>
      <c r="CK415" s="2" t="s">
        <v>3377</v>
      </c>
      <c r="CL415" s="2" t="s">
        <v>3567</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3332</v>
      </c>
      <c r="CI416" s="2" t="s">
        <v>1174</v>
      </c>
      <c r="CJ416" s="2" t="s">
        <v>1174</v>
      </c>
      <c r="CK416" s="2" t="s">
        <v>3378</v>
      </c>
      <c r="CL416" s="2" t="s">
        <v>3568</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3332</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3332</v>
      </c>
      <c r="CI418" s="2" t="s">
        <v>1174</v>
      </c>
      <c r="CJ418" s="2" t="s">
        <v>1174</v>
      </c>
      <c r="CK418" s="2" t="s">
        <v>3379</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3332</v>
      </c>
      <c r="CI419" s="2" t="s">
        <v>1174</v>
      </c>
      <c r="CJ419" s="2" t="s">
        <v>1174</v>
      </c>
      <c r="CK419" s="2" t="s">
        <v>3380</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3332</v>
      </c>
      <c r="CI420" s="2" t="s">
        <v>1174</v>
      </c>
      <c r="CJ420" s="2" t="s">
        <v>1174</v>
      </c>
      <c r="CK420" s="2" t="s">
        <v>3381</v>
      </c>
      <c r="CL420" s="2" t="s">
        <v>3567</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3332</v>
      </c>
      <c r="CI421" s="2" t="s">
        <v>1223</v>
      </c>
      <c r="CJ421" s="2" t="s">
        <v>3338</v>
      </c>
      <c r="CK421" s="2" t="s">
        <v>3350</v>
      </c>
      <c r="CL421" s="2" t="s">
        <v>3544</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3332</v>
      </c>
      <c r="CI422" s="2" t="s">
        <v>1223</v>
      </c>
      <c r="CJ422" s="2" t="s">
        <v>3338</v>
      </c>
      <c r="CK422" s="2" t="s">
        <v>720</v>
      </c>
      <c r="CL422" s="2" t="s">
        <v>3545</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3332</v>
      </c>
      <c r="CI423" s="2" t="s">
        <v>1223</v>
      </c>
      <c r="CJ423" s="2" t="s">
        <v>3338</v>
      </c>
      <c r="CK423" s="2" t="s">
        <v>532</v>
      </c>
      <c r="CL423" s="2" t="s">
        <v>3546</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3332</v>
      </c>
      <c r="CI424" s="2" t="s">
        <v>1223</v>
      </c>
      <c r="CJ424" s="2" t="s">
        <v>3338</v>
      </c>
      <c r="CK424" s="2" t="s">
        <v>542</v>
      </c>
      <c r="CL424" s="2" t="s">
        <v>3547</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3332</v>
      </c>
      <c r="CI425" s="2" t="s">
        <v>1223</v>
      </c>
      <c r="CJ425" s="2" t="s">
        <v>3338</v>
      </c>
      <c r="CK425" s="2" t="s">
        <v>3351</v>
      </c>
      <c r="CL425" s="2" t="s">
        <v>3548</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3332</v>
      </c>
      <c r="CI426" s="2" t="s">
        <v>1223</v>
      </c>
      <c r="CJ426" s="2" t="s">
        <v>3338</v>
      </c>
      <c r="CK426" s="2" t="s">
        <v>446</v>
      </c>
      <c r="CL426" s="2" t="s">
        <v>3545</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3332</v>
      </c>
      <c r="CI427" s="2" t="s">
        <v>1223</v>
      </c>
      <c r="CJ427" s="2" t="s">
        <v>3338</v>
      </c>
      <c r="CK427" s="2" t="s">
        <v>3352</v>
      </c>
      <c r="CL427" s="2" t="s">
        <v>3548</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3332</v>
      </c>
      <c r="CI428" s="2" t="s">
        <v>1223</v>
      </c>
      <c r="CJ428" s="2" t="s">
        <v>3338</v>
      </c>
      <c r="CK428" s="2" t="s">
        <v>534</v>
      </c>
      <c r="CL428" s="2" t="s">
        <v>3549</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3332</v>
      </c>
      <c r="CI429" s="2" t="s">
        <v>1223</v>
      </c>
      <c r="CJ429" s="2" t="s">
        <v>3338</v>
      </c>
      <c r="CK429" s="2" t="s">
        <v>3353</v>
      </c>
      <c r="CL429" s="2" t="s">
        <v>3548</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3332</v>
      </c>
      <c r="CI430" s="2" t="s">
        <v>1223</v>
      </c>
      <c r="CJ430" s="2" t="s">
        <v>3338</v>
      </c>
      <c r="CK430" s="2" t="s">
        <v>448</v>
      </c>
      <c r="CL430" s="2" t="s">
        <v>3545</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3332</v>
      </c>
      <c r="CI431" s="2" t="s">
        <v>1223</v>
      </c>
      <c r="CJ431" s="2" t="s">
        <v>3338</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3332</v>
      </c>
      <c r="CI432" s="2" t="s">
        <v>1223</v>
      </c>
      <c r="CJ432" s="2" t="s">
        <v>3338</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3332</v>
      </c>
      <c r="CI433" s="2" t="s">
        <v>1223</v>
      </c>
      <c r="CJ433" s="2" t="s">
        <v>3338</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3332</v>
      </c>
      <c r="CI434" s="2" t="s">
        <v>3329</v>
      </c>
      <c r="CJ434" s="2" t="s">
        <v>3339</v>
      </c>
      <c r="CK434" s="2" t="s">
        <v>252</v>
      </c>
      <c r="CL434" s="2" t="s">
        <v>3563</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3332</v>
      </c>
      <c r="CI435" s="2" t="s">
        <v>3329</v>
      </c>
      <c r="CJ435" s="2" t="s">
        <v>3339</v>
      </c>
      <c r="CK435" s="2" t="s">
        <v>760</v>
      </c>
      <c r="CL435" s="2" t="s">
        <v>3563</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3332</v>
      </c>
      <c r="CI436" s="2" t="s">
        <v>3329</v>
      </c>
      <c r="CJ436" s="2" t="s">
        <v>3339</v>
      </c>
      <c r="CK436" s="2" t="s">
        <v>762</v>
      </c>
      <c r="CL436" s="2" t="s">
        <v>3564</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3332</v>
      </c>
      <c r="CI437" s="2" t="s">
        <v>3329</v>
      </c>
      <c r="CJ437" s="2" t="s">
        <v>3339</v>
      </c>
      <c r="CK437" s="2" t="s">
        <v>730</v>
      </c>
      <c r="CL437" s="2" t="s">
        <v>3559</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3332</v>
      </c>
      <c r="CI438" s="2" t="s">
        <v>3329</v>
      </c>
      <c r="CJ438" s="2" t="s">
        <v>3339</v>
      </c>
      <c r="CK438" s="2" t="s">
        <v>720</v>
      </c>
      <c r="CL438" s="2" t="s">
        <v>3545</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3332</v>
      </c>
      <c r="CI439" s="2" t="s">
        <v>3329</v>
      </c>
      <c r="CJ439" s="2" t="s">
        <v>3339</v>
      </c>
      <c r="CK439" s="2" t="s">
        <v>3372</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3332</v>
      </c>
      <c r="CI440" s="2" t="s">
        <v>3329</v>
      </c>
      <c r="CJ440" s="2" t="s">
        <v>3339</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3332</v>
      </c>
      <c r="CI441" s="2" t="s">
        <v>3329</v>
      </c>
      <c r="CJ441" s="2" t="s">
        <v>3339</v>
      </c>
      <c r="CK441" s="2" t="s">
        <v>3351</v>
      </c>
      <c r="CL441" s="2" t="s">
        <v>3548</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3332</v>
      </c>
      <c r="CI442" s="2" t="s">
        <v>3329</v>
      </c>
      <c r="CJ442" s="2" t="s">
        <v>3339</v>
      </c>
      <c r="CK442" s="2" t="s">
        <v>446</v>
      </c>
      <c r="CL442" s="2" t="s">
        <v>3545</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3332</v>
      </c>
      <c r="CI443" s="2" t="s">
        <v>3329</v>
      </c>
      <c r="CJ443" s="2" t="s">
        <v>3339</v>
      </c>
      <c r="CK443" s="2" t="s">
        <v>3352</v>
      </c>
      <c r="CL443" s="2" t="s">
        <v>3548</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3332</v>
      </c>
      <c r="CI444" s="2" t="s">
        <v>3329</v>
      </c>
      <c r="CJ444" s="2" t="s">
        <v>3339</v>
      </c>
      <c r="CK444" s="2" t="s">
        <v>761</v>
      </c>
      <c r="CL444" s="2" t="s">
        <v>3563</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3332</v>
      </c>
      <c r="CI445" s="2" t="s">
        <v>3329</v>
      </c>
      <c r="CJ445" s="2" t="s">
        <v>3339</v>
      </c>
      <c r="CK445" s="2" t="s">
        <v>764</v>
      </c>
      <c r="CL445" s="2" t="s">
        <v>3565</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3332</v>
      </c>
      <c r="CI446" s="2" t="s">
        <v>3329</v>
      </c>
      <c r="CJ446" s="2" t="s">
        <v>3339</v>
      </c>
      <c r="CK446" s="2" t="s">
        <v>3353</v>
      </c>
      <c r="CL446" s="2" t="s">
        <v>3548</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3332</v>
      </c>
      <c r="CI447" s="2" t="s">
        <v>3329</v>
      </c>
      <c r="CJ447" s="2" t="s">
        <v>3339</v>
      </c>
      <c r="CK447" s="2" t="s">
        <v>448</v>
      </c>
      <c r="CL447" s="2" t="s">
        <v>3545</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3330</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3330</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3330</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3340</v>
      </c>
      <c r="CK451" s="2" t="s">
        <v>3350</v>
      </c>
      <c r="CL451" s="2" t="s">
        <v>3544</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3340</v>
      </c>
      <c r="CK452" s="2" t="s">
        <v>720</v>
      </c>
      <c r="CL452" s="2" t="s">
        <v>3545</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3340</v>
      </c>
      <c r="CK453" s="2" t="s">
        <v>532</v>
      </c>
      <c r="CL453" s="2" t="s">
        <v>3546</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3340</v>
      </c>
      <c r="CK454" s="2" t="s">
        <v>542</v>
      </c>
      <c r="CL454" s="2" t="s">
        <v>3547</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3340</v>
      </c>
      <c r="CK455" s="2" t="s">
        <v>3351</v>
      </c>
      <c r="CL455" s="2" t="s">
        <v>3548</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3340</v>
      </c>
      <c r="CK456" s="2" t="s">
        <v>446</v>
      </c>
      <c r="CL456" s="2" t="s">
        <v>3545</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3340</v>
      </c>
      <c r="CK457" s="2" t="s">
        <v>3352</v>
      </c>
      <c r="CL457" s="2" t="s">
        <v>3548</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3340</v>
      </c>
      <c r="CK458" s="2" t="s">
        <v>534</v>
      </c>
      <c r="CL458" s="2" t="s">
        <v>3549</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3340</v>
      </c>
      <c r="CK459" s="2" t="s">
        <v>3353</v>
      </c>
      <c r="CL459" s="2" t="s">
        <v>3548</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3340</v>
      </c>
      <c r="CK460" s="2" t="s">
        <v>448</v>
      </c>
      <c r="CL460" s="2" t="s">
        <v>3545</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3340</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3340</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3340</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3341</v>
      </c>
      <c r="CK464" s="2" t="s">
        <v>3350</v>
      </c>
      <c r="CL464" s="2" t="s">
        <v>3544</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3341</v>
      </c>
      <c r="CK465" s="2" t="s">
        <v>720</v>
      </c>
      <c r="CL465" s="2" t="s">
        <v>3545</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3341</v>
      </c>
      <c r="CK466" s="2" t="s">
        <v>532</v>
      </c>
      <c r="CL466" s="2" t="s">
        <v>3546</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3341</v>
      </c>
      <c r="CK467" s="2" t="s">
        <v>542</v>
      </c>
      <c r="CL467" s="2" t="s">
        <v>3547</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3341</v>
      </c>
      <c r="CK468" s="2" t="s">
        <v>3351</v>
      </c>
      <c r="CL468" s="2" t="s">
        <v>3548</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3341</v>
      </c>
      <c r="CK469" s="2" t="s">
        <v>446</v>
      </c>
      <c r="CL469" s="2" t="s">
        <v>3545</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3341</v>
      </c>
      <c r="CK470" s="2" t="s">
        <v>3352</v>
      </c>
      <c r="CL470" s="2" t="s">
        <v>3548</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3341</v>
      </c>
      <c r="CK471" s="2" t="s">
        <v>534</v>
      </c>
      <c r="CL471" s="2" t="s">
        <v>3549</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3341</v>
      </c>
      <c r="CK472" s="2" t="s">
        <v>3353</v>
      </c>
      <c r="CL472" s="2" t="s">
        <v>3548</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3341</v>
      </c>
      <c r="CK473" s="2" t="s">
        <v>448</v>
      </c>
      <c r="CL473" s="2" t="s">
        <v>3545</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3341</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3341</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3341</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3342</v>
      </c>
      <c r="CK477" s="2" t="s">
        <v>3362</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3342</v>
      </c>
      <c r="CK478" s="2" t="s">
        <v>720</v>
      </c>
      <c r="CL478" s="2" t="s">
        <v>3545</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3342</v>
      </c>
      <c r="CK479" s="2" t="s">
        <v>580</v>
      </c>
      <c r="CL479" s="2" t="s">
        <v>3550</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3342</v>
      </c>
      <c r="CK480" s="2" t="s">
        <v>329</v>
      </c>
      <c r="CL480" s="2" t="s">
        <v>3551</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3342</v>
      </c>
      <c r="CK481" s="2" t="s">
        <v>578</v>
      </c>
      <c r="CL481" s="2" t="s">
        <v>3552</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3342</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3342</v>
      </c>
      <c r="CK483" s="2" t="s">
        <v>3351</v>
      </c>
      <c r="CL483" s="2" t="s">
        <v>3548</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3342</v>
      </c>
      <c r="CK484" s="2" t="s">
        <v>446</v>
      </c>
      <c r="CL484" s="2" t="s">
        <v>3545</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3342</v>
      </c>
      <c r="CK485" s="2" t="s">
        <v>3352</v>
      </c>
      <c r="CL485" s="2" t="s">
        <v>3548</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3342</v>
      </c>
      <c r="CK486" s="2" t="s">
        <v>576</v>
      </c>
      <c r="CL486" s="2" t="s">
        <v>3553</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3342</v>
      </c>
      <c r="CK487" s="2" t="s">
        <v>3353</v>
      </c>
      <c r="CL487" s="2" t="s">
        <v>3548</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3342</v>
      </c>
      <c r="CK488" s="2" t="s">
        <v>448</v>
      </c>
      <c r="CL488" s="2" t="s">
        <v>3545</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3343</v>
      </c>
      <c r="CK489" s="2" t="s">
        <v>720</v>
      </c>
      <c r="CL489" s="2" t="s">
        <v>3545</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3343</v>
      </c>
      <c r="CK490" s="2" t="s">
        <v>3363</v>
      </c>
      <c r="CL490" s="2" t="s">
        <v>3544</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3343</v>
      </c>
      <c r="CK491" s="2" t="s">
        <v>3351</v>
      </c>
      <c r="CL491" s="2" t="s">
        <v>3548</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3343</v>
      </c>
      <c r="CK492" s="2" t="s">
        <v>3352</v>
      </c>
      <c r="CL492" s="2" t="s">
        <v>3548</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3343</v>
      </c>
      <c r="CK493" s="2" t="s">
        <v>567</v>
      </c>
      <c r="CL493" s="2" t="s">
        <v>3554</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3343</v>
      </c>
      <c r="CK494" s="2" t="s">
        <v>571</v>
      </c>
      <c r="CL494" s="2" t="s">
        <v>3555</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3343</v>
      </c>
      <c r="CK495" s="2" t="s">
        <v>573</v>
      </c>
      <c r="CL495" s="2" t="s">
        <v>3556</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3343</v>
      </c>
      <c r="CK496" s="2" t="s">
        <v>3353</v>
      </c>
      <c r="CL496" s="2" t="s">
        <v>3548</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3343</v>
      </c>
      <c r="CK497" s="2" t="s">
        <v>569</v>
      </c>
      <c r="CL497" s="2" t="s">
        <v>3549</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3344</v>
      </c>
      <c r="CK498" s="2" t="s">
        <v>3350</v>
      </c>
      <c r="CL498" s="2" t="s">
        <v>3544</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3344</v>
      </c>
      <c r="CK499" s="2" t="s">
        <v>720</v>
      </c>
      <c r="CL499" s="2" t="s">
        <v>3545</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3344</v>
      </c>
      <c r="CK500" s="2" t="s">
        <v>532</v>
      </c>
      <c r="CL500" s="2" t="s">
        <v>3546</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3344</v>
      </c>
      <c r="CK501" s="2" t="s">
        <v>542</v>
      </c>
      <c r="CL501" s="2" t="s">
        <v>3547</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3344</v>
      </c>
      <c r="CK502" s="2" t="s">
        <v>3351</v>
      </c>
      <c r="CL502" s="2" t="s">
        <v>3548</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3344</v>
      </c>
      <c r="CK503" s="2" t="s">
        <v>446</v>
      </c>
      <c r="CL503" s="2" t="s">
        <v>3545</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3344</v>
      </c>
      <c r="CK504" s="2" t="s">
        <v>3352</v>
      </c>
      <c r="CL504" s="2" t="s">
        <v>3548</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3344</v>
      </c>
      <c r="CK505" s="2" t="s">
        <v>534</v>
      </c>
      <c r="CL505" s="2" t="s">
        <v>3549</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3344</v>
      </c>
      <c r="CK506" s="2" t="s">
        <v>3353</v>
      </c>
      <c r="CL506" s="2" t="s">
        <v>3548</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3344</v>
      </c>
      <c r="CK507" s="2" t="s">
        <v>448</v>
      </c>
      <c r="CL507" s="2" t="s">
        <v>3545</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3344</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3344</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3344</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3416</v>
      </c>
      <c r="CK511" s="2" t="s">
        <v>3350</v>
      </c>
      <c r="CL511" s="2" t="s">
        <v>3544</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3416</v>
      </c>
      <c r="CK512" s="2" t="s">
        <v>3382</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3416</v>
      </c>
      <c r="CK513" s="2" t="s">
        <v>532</v>
      </c>
      <c r="CL513" s="2" t="s">
        <v>3546</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3416</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3416</v>
      </c>
      <c r="CK515" s="2" t="s">
        <v>3383</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3416</v>
      </c>
      <c r="CK516" s="2" t="s">
        <v>534</v>
      </c>
      <c r="CL516" s="2" t="s">
        <v>3549</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3416</v>
      </c>
      <c r="CK517" s="2" t="s">
        <v>3384</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3416</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3416</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3416</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3417</v>
      </c>
      <c r="CK521" s="2" t="s">
        <v>3354</v>
      </c>
      <c r="CL521" s="2" t="s">
        <v>3546</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3417</v>
      </c>
      <c r="CK522" s="2" t="s">
        <v>3355</v>
      </c>
      <c r="CL522" s="2" t="s">
        <v>3544</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3417</v>
      </c>
      <c r="CK523" s="2" t="s">
        <v>720</v>
      </c>
      <c r="CL523" s="2" t="s">
        <v>3545</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3417</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3417</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3417</v>
      </c>
      <c r="CK526" s="2" t="s">
        <v>315</v>
      </c>
      <c r="CL526" s="2" t="s">
        <v>3549</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3417</v>
      </c>
      <c r="CK527" s="2" t="s">
        <v>3356</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3417</v>
      </c>
      <c r="CK528" s="2" t="s">
        <v>370</v>
      </c>
      <c r="CL528" s="2" t="s">
        <v>3547</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3417</v>
      </c>
      <c r="CK529" s="2" t="s">
        <v>3357</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3417</v>
      </c>
      <c r="CK530" s="2" t="s">
        <v>3351</v>
      </c>
      <c r="CL530" s="2" t="s">
        <v>3548</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3417</v>
      </c>
      <c r="CK531" s="2" t="s">
        <v>3352</v>
      </c>
      <c r="CL531" s="2" t="s">
        <v>3548</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3417</v>
      </c>
      <c r="CK532" s="2" t="s">
        <v>3358</v>
      </c>
      <c r="CL532" s="2" t="s">
        <v>3549</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3417</v>
      </c>
      <c r="CK533" s="2" t="s">
        <v>3359</v>
      </c>
      <c r="CL533" s="2" t="s">
        <v>3545</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3417</v>
      </c>
      <c r="CK534" s="2" t="s">
        <v>3360</v>
      </c>
      <c r="CL534" s="2" t="s">
        <v>3546</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3417</v>
      </c>
      <c r="CK535" s="2" t="s">
        <v>3361</v>
      </c>
      <c r="CL535" s="2" t="s">
        <v>3545</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3417</v>
      </c>
      <c r="CK536" s="2" t="s">
        <v>3353</v>
      </c>
      <c r="CL536" s="2" t="s">
        <v>3548</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3333</v>
      </c>
      <c r="CI537" s="2" t="s">
        <v>2728</v>
      </c>
      <c r="CJ537" s="2" t="s">
        <v>3345</v>
      </c>
      <c r="CK537" s="2" t="s">
        <v>252</v>
      </c>
      <c r="CL537" s="2" t="s">
        <v>3563</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3333</v>
      </c>
      <c r="CI538" s="2" t="s">
        <v>2728</v>
      </c>
      <c r="CJ538" s="2" t="s">
        <v>3345</v>
      </c>
      <c r="CK538" s="2" t="s">
        <v>760</v>
      </c>
      <c r="CL538" s="2" t="s">
        <v>3563</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3333</v>
      </c>
      <c r="CI539" s="2" t="s">
        <v>2728</v>
      </c>
      <c r="CJ539" s="2" t="s">
        <v>3345</v>
      </c>
      <c r="CK539" s="2" t="s">
        <v>720</v>
      </c>
      <c r="CL539" s="2" t="s">
        <v>3545</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3333</v>
      </c>
      <c r="CI540" s="2" t="s">
        <v>2728</v>
      </c>
      <c r="CJ540" s="2" t="s">
        <v>3345</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3333</v>
      </c>
      <c r="CI541" s="2" t="s">
        <v>2728</v>
      </c>
      <c r="CJ541" s="2" t="s">
        <v>3345</v>
      </c>
      <c r="CK541" s="2" t="s">
        <v>3372</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3333</v>
      </c>
      <c r="CI542" s="2" t="s">
        <v>2728</v>
      </c>
      <c r="CJ542" s="2" t="s">
        <v>3345</v>
      </c>
      <c r="CK542" s="2" t="s">
        <v>3385</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3333</v>
      </c>
      <c r="CI543" s="2" t="s">
        <v>2728</v>
      </c>
      <c r="CJ543" s="2" t="s">
        <v>3345</v>
      </c>
      <c r="CK543" s="2" t="s">
        <v>3351</v>
      </c>
      <c r="CL543" s="2" t="s">
        <v>3548</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3333</v>
      </c>
      <c r="CI544" s="2" t="s">
        <v>2728</v>
      </c>
      <c r="CJ544" s="2" t="s">
        <v>3345</v>
      </c>
      <c r="CK544" s="2" t="s">
        <v>3352</v>
      </c>
      <c r="CL544" s="2" t="s">
        <v>3548</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3333</v>
      </c>
      <c r="CI545" s="2" t="s">
        <v>2728</v>
      </c>
      <c r="CJ545" s="2" t="s">
        <v>3345</v>
      </c>
      <c r="CK545" s="2" t="s">
        <v>3386</v>
      </c>
      <c r="CL545" s="2" t="s">
        <v>3565</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3333</v>
      </c>
      <c r="CI546" s="2" t="s">
        <v>2728</v>
      </c>
      <c r="CJ546" s="2" t="s">
        <v>3345</v>
      </c>
      <c r="CK546" s="2" t="s">
        <v>383</v>
      </c>
      <c r="CL546" s="2" t="s">
        <v>3569</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3333</v>
      </c>
      <c r="CI547" s="2" t="s">
        <v>2728</v>
      </c>
      <c r="CJ547" s="2" t="s">
        <v>3345</v>
      </c>
      <c r="CK547" s="2" t="s">
        <v>761</v>
      </c>
      <c r="CL547" s="2" t="s">
        <v>3563</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3333</v>
      </c>
      <c r="CI548" s="2" t="s">
        <v>2728</v>
      </c>
      <c r="CJ548" s="2" t="s">
        <v>3345</v>
      </c>
      <c r="CK548" s="2" t="s">
        <v>3353</v>
      </c>
      <c r="CL548" s="2" t="s">
        <v>3548</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3333</v>
      </c>
      <c r="CI549" s="2" t="s">
        <v>2728</v>
      </c>
      <c r="CJ549" s="2" t="s">
        <v>3345</v>
      </c>
      <c r="CK549" s="2" t="s">
        <v>3387</v>
      </c>
      <c r="CL549" s="2" t="s">
        <v>3548</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3418</v>
      </c>
      <c r="CK550" s="2" t="s">
        <v>3350</v>
      </c>
      <c r="CL550" s="2" t="s">
        <v>3544</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3418</v>
      </c>
      <c r="CK551" s="2" t="s">
        <v>3364</v>
      </c>
      <c r="CL551" s="2" t="s">
        <v>3560</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3418</v>
      </c>
      <c r="CK552" s="2" t="s">
        <v>720</v>
      </c>
      <c r="CL552" s="2" t="s">
        <v>3545</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3418</v>
      </c>
      <c r="CK553" s="2" t="s">
        <v>3365</v>
      </c>
      <c r="CL553" s="2" t="s">
        <v>3563</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3418</v>
      </c>
      <c r="CK554" s="2" t="s">
        <v>532</v>
      </c>
      <c r="CL554" s="2" t="s">
        <v>3546</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3418</v>
      </c>
      <c r="CK555" s="2" t="s">
        <v>584</v>
      </c>
      <c r="CL555" s="2" t="s">
        <v>3560</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3418</v>
      </c>
      <c r="CK556" s="2" t="s">
        <v>590</v>
      </c>
      <c r="CL556" s="2" t="s">
        <v>3548</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3418</v>
      </c>
      <c r="CK557" s="2" t="s">
        <v>588</v>
      </c>
      <c r="CL557" s="2" t="s">
        <v>3562</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3418</v>
      </c>
      <c r="CK558" s="2" t="s">
        <v>542</v>
      </c>
      <c r="CL558" s="2" t="s">
        <v>3547</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3418</v>
      </c>
      <c r="CK559" s="2" t="s">
        <v>3351</v>
      </c>
      <c r="CL559" s="2" t="s">
        <v>3548</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3418</v>
      </c>
      <c r="CK560" s="2" t="s">
        <v>446</v>
      </c>
      <c r="CL560" s="2" t="s">
        <v>3545</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3418</v>
      </c>
      <c r="CK561" s="2" t="s">
        <v>3352</v>
      </c>
      <c r="CL561" s="2" t="s">
        <v>3548</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3418</v>
      </c>
      <c r="CK562" s="2" t="s">
        <v>534</v>
      </c>
      <c r="CL562" s="2" t="s">
        <v>3549</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3418</v>
      </c>
      <c r="CK563" s="2" t="s">
        <v>586</v>
      </c>
      <c r="CL563" s="2" t="s">
        <v>3561</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3418</v>
      </c>
      <c r="CK564" s="2" t="s">
        <v>3353</v>
      </c>
      <c r="CL564" s="2" t="s">
        <v>3548</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3418</v>
      </c>
      <c r="CK565" s="2" t="s">
        <v>448</v>
      </c>
      <c r="CL565" s="2" t="s">
        <v>3545</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3418</v>
      </c>
      <c r="CK566" s="2" t="s">
        <v>3366</v>
      </c>
      <c r="CL566" s="2" t="s">
        <v>3564</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3418</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3418</v>
      </c>
      <c r="CK568" s="2" t="s">
        <v>3367</v>
      </c>
      <c r="CL568" s="2" t="s">
        <v>3563</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3418</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3418</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3354</v>
      </c>
      <c r="CL571" s="2" t="s">
        <v>3546</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3355</v>
      </c>
      <c r="CL572" s="2" t="s">
        <v>3544</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3545</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3549</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3356</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3547</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3357</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3351</v>
      </c>
      <c r="CL580" s="2" t="s">
        <v>3548</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3352</v>
      </c>
      <c r="CL581" s="2" t="s">
        <v>3548</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3358</v>
      </c>
      <c r="CL582" s="2" t="s">
        <v>3549</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3359</v>
      </c>
      <c r="CL583" s="2" t="s">
        <v>3545</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3360</v>
      </c>
      <c r="CL584" s="2" t="s">
        <v>3546</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3361</v>
      </c>
      <c r="CL585" s="2" t="s">
        <v>3545</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3353</v>
      </c>
      <c r="CL586" s="2" t="s">
        <v>3548</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3350</v>
      </c>
      <c r="CL587" s="2" t="s">
        <v>3544</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3364</v>
      </c>
      <c r="CL588" s="2" t="s">
        <v>3560</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3545</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3365</v>
      </c>
      <c r="CL590" s="2" t="s">
        <v>3563</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3546</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3560</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3548</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3562</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3547</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3351</v>
      </c>
      <c r="CL596" s="2" t="s">
        <v>3548</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3545</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3352</v>
      </c>
      <c r="CL598" s="2" t="s">
        <v>3548</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3549</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3561</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3353</v>
      </c>
      <c r="CL601" s="2" t="s">
        <v>3548</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3545</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3366</v>
      </c>
      <c r="CL603" s="2" t="s">
        <v>3564</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3367</v>
      </c>
      <c r="CL605" s="2" t="s">
        <v>3563</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3350</v>
      </c>
      <c r="CL608" s="2" t="s">
        <v>3544</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3364</v>
      </c>
      <c r="CL609" s="2" t="s">
        <v>3560</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3545</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3365</v>
      </c>
      <c r="CL611" s="2" t="s">
        <v>3563</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3546</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3560</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3548</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3562</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3547</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3351</v>
      </c>
      <c r="CL617" s="2" t="s">
        <v>3548</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3545</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3352</v>
      </c>
      <c r="CL619" s="2" t="s">
        <v>3548</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3549</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3561</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3353</v>
      </c>
      <c r="CL622" s="2" t="s">
        <v>3548</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3545</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3366</v>
      </c>
      <c r="CL624" s="2" t="s">
        <v>3564</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3367</v>
      </c>
      <c r="CL626" s="2" t="s">
        <v>3563</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3346</v>
      </c>
      <c r="CK632" s="2" t="s">
        <v>3362</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3346</v>
      </c>
      <c r="CK633" s="2" t="s">
        <v>720</v>
      </c>
      <c r="CL633" s="2" t="s">
        <v>3545</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3346</v>
      </c>
      <c r="CK634" s="2" t="s">
        <v>580</v>
      </c>
      <c r="CL634" s="2" t="s">
        <v>3550</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3346</v>
      </c>
      <c r="CK635" s="2" t="s">
        <v>329</v>
      </c>
      <c r="CL635" s="2" t="s">
        <v>3551</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3346</v>
      </c>
      <c r="CK636" s="2" t="s">
        <v>578</v>
      </c>
      <c r="CL636" s="2" t="s">
        <v>3552</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3346</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3346</v>
      </c>
      <c r="CK638" s="2" t="s">
        <v>3351</v>
      </c>
      <c r="CL638" s="2" t="s">
        <v>3548</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3346</v>
      </c>
      <c r="CK639" s="2" t="s">
        <v>446</v>
      </c>
      <c r="CL639" s="2" t="s">
        <v>3545</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3346</v>
      </c>
      <c r="CK640" s="2" t="s">
        <v>3352</v>
      </c>
      <c r="CL640" s="2" t="s">
        <v>3548</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3346</v>
      </c>
      <c r="CK641" s="2" t="s">
        <v>576</v>
      </c>
      <c r="CL641" s="2" t="s">
        <v>3553</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3346</v>
      </c>
      <c r="CK642" s="2" t="s">
        <v>3353</v>
      </c>
      <c r="CL642" s="2" t="s">
        <v>3548</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3346</v>
      </c>
      <c r="CK643" s="2" t="s">
        <v>448</v>
      </c>
      <c r="CL643" s="2" t="s">
        <v>3545</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3545</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3363</v>
      </c>
      <c r="CL645" s="2" t="s">
        <v>3544</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3351</v>
      </c>
      <c r="CL646" s="2" t="s">
        <v>3548</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3352</v>
      </c>
      <c r="CL647" s="2" t="s">
        <v>3548</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3554</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3555</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3556</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3353</v>
      </c>
      <c r="CL651" s="2" t="s">
        <v>3548</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3549</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3350</v>
      </c>
      <c r="CL653" s="2" t="s">
        <v>3544</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3545</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3546</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3547</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3351</v>
      </c>
      <c r="CL657" s="2" t="s">
        <v>3548</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3545</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3352</v>
      </c>
      <c r="CL659" s="2" t="s">
        <v>3548</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3549</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3353</v>
      </c>
      <c r="CL661" s="2" t="s">
        <v>3548</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3545</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3350</v>
      </c>
      <c r="CL666" s="2" t="s">
        <v>3544</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3364</v>
      </c>
      <c r="CL667" s="2" t="s">
        <v>3560</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3545</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3365</v>
      </c>
      <c r="CL669" s="2" t="s">
        <v>3563</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3546</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3560</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3548</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3562</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3547</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3351</v>
      </c>
      <c r="CL675" s="2" t="s">
        <v>3548</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3545</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3352</v>
      </c>
      <c r="CL677" s="2" t="s">
        <v>3548</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3549</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3561</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3353</v>
      </c>
      <c r="CL680" s="2" t="s">
        <v>3548</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3545</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3366</v>
      </c>
      <c r="CL682" s="2" t="s">
        <v>3564</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3367</v>
      </c>
      <c r="CL684" s="2" t="s">
        <v>3563</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3334</v>
      </c>
      <c r="CI687" s="2" t="s">
        <v>1180</v>
      </c>
      <c r="CJ687" s="2" t="s">
        <v>1180</v>
      </c>
      <c r="CK687" s="2" t="s">
        <v>3362</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3334</v>
      </c>
      <c r="CI688" s="2" t="s">
        <v>1180</v>
      </c>
      <c r="CJ688" s="2" t="s">
        <v>1180</v>
      </c>
      <c r="CK688" s="2" t="s">
        <v>720</v>
      </c>
      <c r="CL688" s="2" t="s">
        <v>3545</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3334</v>
      </c>
      <c r="CI689" s="2" t="s">
        <v>1180</v>
      </c>
      <c r="CJ689" s="2" t="s">
        <v>1180</v>
      </c>
      <c r="CK689" s="2" t="s">
        <v>580</v>
      </c>
      <c r="CL689" s="2" t="s">
        <v>3550</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3334</v>
      </c>
      <c r="CI690" s="2" t="s">
        <v>1180</v>
      </c>
      <c r="CJ690" s="2" t="s">
        <v>1180</v>
      </c>
      <c r="CK690" s="2" t="s">
        <v>329</v>
      </c>
      <c r="CL690" s="2" t="s">
        <v>3551</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3334</v>
      </c>
      <c r="CI691" s="2" t="s">
        <v>1180</v>
      </c>
      <c r="CJ691" s="2" t="s">
        <v>1180</v>
      </c>
      <c r="CK691" s="2" t="s">
        <v>578</v>
      </c>
      <c r="CL691" s="2" t="s">
        <v>3552</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3334</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3334</v>
      </c>
      <c r="CI693" s="2" t="s">
        <v>1180</v>
      </c>
      <c r="CJ693" s="2" t="s">
        <v>1180</v>
      </c>
      <c r="CK693" s="2" t="s">
        <v>3351</v>
      </c>
      <c r="CL693" s="2" t="s">
        <v>3548</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3334</v>
      </c>
      <c r="CI694" s="2" t="s">
        <v>1180</v>
      </c>
      <c r="CJ694" s="2" t="s">
        <v>1180</v>
      </c>
      <c r="CK694" s="2" t="s">
        <v>446</v>
      </c>
      <c r="CL694" s="2" t="s">
        <v>3545</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3334</v>
      </c>
      <c r="CI695" s="2" t="s">
        <v>1180</v>
      </c>
      <c r="CJ695" s="2" t="s">
        <v>1180</v>
      </c>
      <c r="CK695" s="2" t="s">
        <v>3352</v>
      </c>
      <c r="CL695" s="2" t="s">
        <v>3548</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3334</v>
      </c>
      <c r="CI696" s="2" t="s">
        <v>1180</v>
      </c>
      <c r="CJ696" s="2" t="s">
        <v>1180</v>
      </c>
      <c r="CK696" s="2" t="s">
        <v>576</v>
      </c>
      <c r="CL696" s="2" t="s">
        <v>3553</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3334</v>
      </c>
      <c r="CI697" s="2" t="s">
        <v>1180</v>
      </c>
      <c r="CJ697" s="2" t="s">
        <v>1180</v>
      </c>
      <c r="CK697" s="2" t="s">
        <v>3353</v>
      </c>
      <c r="CL697" s="2" t="s">
        <v>3548</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3334</v>
      </c>
      <c r="CI698" s="2" t="s">
        <v>1180</v>
      </c>
      <c r="CJ698" s="2" t="s">
        <v>1180</v>
      </c>
      <c r="CK698" s="2" t="s">
        <v>448</v>
      </c>
      <c r="CL698" s="2" t="s">
        <v>3545</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3334</v>
      </c>
      <c r="CI699" s="2" t="s">
        <v>3166</v>
      </c>
      <c r="CJ699" s="2" t="s">
        <v>3347</v>
      </c>
      <c r="CK699" s="2" t="s">
        <v>3355</v>
      </c>
      <c r="CL699" s="2" t="s">
        <v>3544</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3334</v>
      </c>
      <c r="CI700" s="2" t="s">
        <v>3166</v>
      </c>
      <c r="CJ700" s="2" t="s">
        <v>3347</v>
      </c>
      <c r="CK700" s="2" t="s">
        <v>3388</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3334</v>
      </c>
      <c r="CI701" s="2" t="s">
        <v>3166</v>
      </c>
      <c r="CJ701" s="2" t="s">
        <v>3347</v>
      </c>
      <c r="CK701" s="2" t="s">
        <v>3389</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3334</v>
      </c>
      <c r="CI702" s="2" t="s">
        <v>3166</v>
      </c>
      <c r="CJ702" s="2" t="s">
        <v>3347</v>
      </c>
      <c r="CK702" s="2" t="s">
        <v>315</v>
      </c>
      <c r="CL702" s="2" t="s">
        <v>3549</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3334</v>
      </c>
      <c r="CI703" s="2" t="s">
        <v>3166</v>
      </c>
      <c r="CJ703" s="2" t="s">
        <v>3347</v>
      </c>
      <c r="CK703" s="2" t="s">
        <v>3356</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3334</v>
      </c>
      <c r="CI704" s="2" t="s">
        <v>3166</v>
      </c>
      <c r="CJ704" s="2" t="s">
        <v>3347</v>
      </c>
      <c r="CK704" s="2" t="s">
        <v>369</v>
      </c>
      <c r="CL704" s="2" t="s">
        <v>3556</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3334</v>
      </c>
      <c r="CI705" s="2" t="s">
        <v>3166</v>
      </c>
      <c r="CJ705" s="2" t="s">
        <v>3347</v>
      </c>
      <c r="CK705" s="2" t="s">
        <v>3390</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3334</v>
      </c>
      <c r="CI706" s="2" t="s">
        <v>3166</v>
      </c>
      <c r="CJ706" s="2" t="s">
        <v>3347</v>
      </c>
      <c r="CK706" s="2" t="s">
        <v>3360</v>
      </c>
      <c r="CL706" s="2" t="s">
        <v>3546</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3334</v>
      </c>
      <c r="CI707" s="2" t="s">
        <v>3166</v>
      </c>
      <c r="CJ707" s="2" t="s">
        <v>3347</v>
      </c>
      <c r="CK707" s="2" t="s">
        <v>3391</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3334</v>
      </c>
      <c r="CI708" s="2" t="s">
        <v>3166</v>
      </c>
      <c r="CJ708" s="2" t="s">
        <v>3347</v>
      </c>
      <c r="CK708" s="2" t="s">
        <v>3392</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3334</v>
      </c>
      <c r="CI709" s="2" t="s">
        <v>1184</v>
      </c>
      <c r="CJ709" s="2" t="s">
        <v>1184</v>
      </c>
      <c r="CK709" s="2" t="s">
        <v>3350</v>
      </c>
      <c r="CL709" s="2" t="s">
        <v>3544</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3334</v>
      </c>
      <c r="CI710" s="2" t="s">
        <v>1184</v>
      </c>
      <c r="CJ710" s="2" t="s">
        <v>1184</v>
      </c>
      <c r="CK710" s="2" t="s">
        <v>720</v>
      </c>
      <c r="CL710" s="2" t="s">
        <v>3545</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3334</v>
      </c>
      <c r="CI711" s="2" t="s">
        <v>1184</v>
      </c>
      <c r="CJ711" s="2" t="s">
        <v>1184</v>
      </c>
      <c r="CK711" s="2" t="s">
        <v>532</v>
      </c>
      <c r="CL711" s="2" t="s">
        <v>3546</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3334</v>
      </c>
      <c r="CI712" s="2" t="s">
        <v>1184</v>
      </c>
      <c r="CJ712" s="2" t="s">
        <v>1184</v>
      </c>
      <c r="CK712" s="2" t="s">
        <v>542</v>
      </c>
      <c r="CL712" s="2" t="s">
        <v>3547</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3334</v>
      </c>
      <c r="CI713" s="2" t="s">
        <v>1184</v>
      </c>
      <c r="CJ713" s="2" t="s">
        <v>1184</v>
      </c>
      <c r="CK713" s="2" t="s">
        <v>3351</v>
      </c>
      <c r="CL713" s="2" t="s">
        <v>3548</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3334</v>
      </c>
      <c r="CI714" s="2" t="s">
        <v>1184</v>
      </c>
      <c r="CJ714" s="2" t="s">
        <v>1184</v>
      </c>
      <c r="CK714" s="2" t="s">
        <v>446</v>
      </c>
      <c r="CL714" s="2" t="s">
        <v>3545</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3334</v>
      </c>
      <c r="CI715" s="2" t="s">
        <v>1184</v>
      </c>
      <c r="CJ715" s="2" t="s">
        <v>1184</v>
      </c>
      <c r="CK715" s="2" t="s">
        <v>3352</v>
      </c>
      <c r="CL715" s="2" t="s">
        <v>3548</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3334</v>
      </c>
      <c r="CI716" s="2" t="s">
        <v>1184</v>
      </c>
      <c r="CJ716" s="2" t="s">
        <v>1184</v>
      </c>
      <c r="CK716" s="2" t="s">
        <v>534</v>
      </c>
      <c r="CL716" s="2" t="s">
        <v>3549</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3334</v>
      </c>
      <c r="CI717" s="2" t="s">
        <v>1184</v>
      </c>
      <c r="CJ717" s="2" t="s">
        <v>1184</v>
      </c>
      <c r="CK717" s="2" t="s">
        <v>3353</v>
      </c>
      <c r="CL717" s="2" t="s">
        <v>3548</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3334</v>
      </c>
      <c r="CI718" s="2" t="s">
        <v>1184</v>
      </c>
      <c r="CJ718" s="2" t="s">
        <v>1184</v>
      </c>
      <c r="CK718" s="2" t="s">
        <v>448</v>
      </c>
      <c r="CL718" s="2" t="s">
        <v>3545</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3334</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3334</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3334</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3334</v>
      </c>
      <c r="CI722" s="2" t="s">
        <v>3331</v>
      </c>
      <c r="CJ722" s="2" t="s">
        <v>3348</v>
      </c>
      <c r="CK722" s="2" t="s">
        <v>3350</v>
      </c>
      <c r="CL722" s="2" t="s">
        <v>3544</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3334</v>
      </c>
      <c r="CI723" s="2" t="s">
        <v>3331</v>
      </c>
      <c r="CJ723" s="2" t="s">
        <v>3348</v>
      </c>
      <c r="CK723" s="2" t="s">
        <v>720</v>
      </c>
      <c r="CL723" s="2" t="s">
        <v>3545</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3334</v>
      </c>
      <c r="CI724" s="2" t="s">
        <v>3331</v>
      </c>
      <c r="CJ724" s="2" t="s">
        <v>3348</v>
      </c>
      <c r="CK724" s="2" t="s">
        <v>532</v>
      </c>
      <c r="CL724" s="2" t="s">
        <v>3546</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3334</v>
      </c>
      <c r="CI725" s="2" t="s">
        <v>3331</v>
      </c>
      <c r="CJ725" s="2" t="s">
        <v>3348</v>
      </c>
      <c r="CK725" s="2" t="s">
        <v>542</v>
      </c>
      <c r="CL725" s="2" t="s">
        <v>3547</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3334</v>
      </c>
      <c r="CI726" s="2" t="s">
        <v>3331</v>
      </c>
      <c r="CJ726" s="2" t="s">
        <v>3348</v>
      </c>
      <c r="CK726" s="2" t="s">
        <v>3351</v>
      </c>
      <c r="CL726" s="2" t="s">
        <v>3548</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3334</v>
      </c>
      <c r="CI727" s="2" t="s">
        <v>3331</v>
      </c>
      <c r="CJ727" s="2" t="s">
        <v>3348</v>
      </c>
      <c r="CK727" s="2" t="s">
        <v>446</v>
      </c>
      <c r="CL727" s="2" t="s">
        <v>3545</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3334</v>
      </c>
      <c r="CI728" s="2" t="s">
        <v>3331</v>
      </c>
      <c r="CJ728" s="2" t="s">
        <v>3348</v>
      </c>
      <c r="CK728" s="2" t="s">
        <v>3352</v>
      </c>
      <c r="CL728" s="2" t="s">
        <v>3548</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3334</v>
      </c>
      <c r="CI729" s="2" t="s">
        <v>3331</v>
      </c>
      <c r="CJ729" s="2" t="s">
        <v>3348</v>
      </c>
      <c r="CK729" s="2" t="s">
        <v>534</v>
      </c>
      <c r="CL729" s="2" t="s">
        <v>3549</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3334</v>
      </c>
      <c r="CI730" s="2" t="s">
        <v>3331</v>
      </c>
      <c r="CJ730" s="2" t="s">
        <v>3348</v>
      </c>
      <c r="CK730" s="2" t="s">
        <v>3353</v>
      </c>
      <c r="CL730" s="2" t="s">
        <v>3548</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3334</v>
      </c>
      <c r="CI731" s="2" t="s">
        <v>3331</v>
      </c>
      <c r="CJ731" s="2" t="s">
        <v>3348</v>
      </c>
      <c r="CK731" s="2" t="s">
        <v>448</v>
      </c>
      <c r="CL731" s="2" t="s">
        <v>3545</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3334</v>
      </c>
      <c r="CI732" s="2" t="s">
        <v>3331</v>
      </c>
      <c r="CJ732" s="2" t="s">
        <v>3348</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3334</v>
      </c>
      <c r="CI733" s="2" t="s">
        <v>3331</v>
      </c>
      <c r="CJ733" s="2" t="s">
        <v>3348</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3334</v>
      </c>
      <c r="CI734" s="2" t="s">
        <v>3331</v>
      </c>
      <c r="CJ734" s="2" t="s">
        <v>3348</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3334</v>
      </c>
      <c r="CI735" s="2" t="s">
        <v>1188</v>
      </c>
      <c r="CJ735" s="2" t="s">
        <v>3349</v>
      </c>
      <c r="CK735" s="2" t="s">
        <v>3350</v>
      </c>
      <c r="CL735" s="2" t="s">
        <v>3544</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3334</v>
      </c>
      <c r="CI736" s="2" t="s">
        <v>1188</v>
      </c>
      <c r="CJ736" s="2" t="s">
        <v>3349</v>
      </c>
      <c r="CK736" s="2" t="s">
        <v>720</v>
      </c>
      <c r="CL736" s="2" t="s">
        <v>3545</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3334</v>
      </c>
      <c r="CI737" s="2" t="s">
        <v>1188</v>
      </c>
      <c r="CJ737" s="2" t="s">
        <v>3349</v>
      </c>
      <c r="CK737" s="2" t="s">
        <v>532</v>
      </c>
      <c r="CL737" s="2" t="s">
        <v>3546</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3334</v>
      </c>
      <c r="CI738" s="2" t="s">
        <v>1188</v>
      </c>
      <c r="CJ738" s="2" t="s">
        <v>3349</v>
      </c>
      <c r="CK738" s="2" t="s">
        <v>542</v>
      </c>
      <c r="CL738" s="2" t="s">
        <v>3547</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3334</v>
      </c>
      <c r="CI739" s="2" t="s">
        <v>1188</v>
      </c>
      <c r="CJ739" s="2" t="s">
        <v>3349</v>
      </c>
      <c r="CK739" s="2" t="s">
        <v>3351</v>
      </c>
      <c r="CL739" s="2" t="s">
        <v>3548</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3334</v>
      </c>
      <c r="CI740" s="2" t="s">
        <v>1188</v>
      </c>
      <c r="CJ740" s="2" t="s">
        <v>3349</v>
      </c>
      <c r="CK740" s="2" t="s">
        <v>446</v>
      </c>
      <c r="CL740" s="2" t="s">
        <v>3545</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3334</v>
      </c>
      <c r="CI741" s="2" t="s">
        <v>1188</v>
      </c>
      <c r="CJ741" s="2" t="s">
        <v>3349</v>
      </c>
      <c r="CK741" s="2" t="s">
        <v>3352</v>
      </c>
      <c r="CL741" s="2" t="s">
        <v>3548</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3334</v>
      </c>
      <c r="CI742" s="2" t="s">
        <v>1188</v>
      </c>
      <c r="CJ742" s="2" t="s">
        <v>3349</v>
      </c>
      <c r="CK742" s="2" t="s">
        <v>534</v>
      </c>
      <c r="CL742" s="2" t="s">
        <v>3549</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3334</v>
      </c>
      <c r="CI743" s="2" t="s">
        <v>1188</v>
      </c>
      <c r="CJ743" s="2" t="s">
        <v>3349</v>
      </c>
      <c r="CK743" s="2" t="s">
        <v>3353</v>
      </c>
      <c r="CL743" s="2" t="s">
        <v>3548</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3334</v>
      </c>
      <c r="CI744" s="2" t="s">
        <v>1188</v>
      </c>
      <c r="CJ744" s="2" t="s">
        <v>3349</v>
      </c>
      <c r="CK744" s="2" t="s">
        <v>448</v>
      </c>
      <c r="CL744" s="2" t="s">
        <v>3545</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3334</v>
      </c>
      <c r="CI745" s="2" t="s">
        <v>1188</v>
      </c>
      <c r="CJ745" s="2" t="s">
        <v>3349</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3334</v>
      </c>
      <c r="CI746" s="2" t="s">
        <v>1188</v>
      </c>
      <c r="CJ746" s="2" t="s">
        <v>3349</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3334</v>
      </c>
      <c r="CI747" s="2" t="s">
        <v>1188</v>
      </c>
      <c r="CJ747" s="2" t="s">
        <v>3349</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zoomScale="70" zoomScaleNormal="70" workbookViewId="0">
      <pane ySplit="4" topLeftCell="A18" activePane="bottomLeft" state="frozen"/>
      <selection activeCell="G20" sqref="G20"/>
      <selection pane="bottomLeft" activeCell="E30" sqref="E30:F30"/>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17968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5"/>
      <c r="AI1" s="1715"/>
      <c r="AJ1" s="1715"/>
    </row>
    <row r="2" spans="1:152" s="469" customFormat="1" ht="25.5" x14ac:dyDescent="0.3">
      <c r="C2" s="855" t="s">
        <v>2376</v>
      </c>
      <c r="F2" s="1717" t="s">
        <v>0</v>
      </c>
      <c r="G2" s="1717"/>
      <c r="H2" s="1717"/>
      <c r="I2" s="1717"/>
      <c r="J2" s="1717"/>
      <c r="K2" s="1717"/>
      <c r="L2" s="1721" t="s">
        <v>2241</v>
      </c>
      <c r="M2" s="1721"/>
      <c r="Q2" s="1724" t="s">
        <v>1677</v>
      </c>
      <c r="R2" s="1724"/>
      <c r="S2" s="1724"/>
      <c r="T2" s="1724"/>
      <c r="U2" s="1724"/>
      <c r="V2" s="1724"/>
      <c r="W2" s="1724"/>
      <c r="X2" s="1724"/>
      <c r="Y2" s="1724"/>
      <c r="AH2" s="470"/>
      <c r="AI2" s="471"/>
      <c r="AJ2" s="471"/>
    </row>
    <row r="3" spans="1:152" s="472" customFormat="1" ht="28" customHeight="1" x14ac:dyDescent="0.35">
      <c r="C3" s="1712" t="s">
        <v>2403</v>
      </c>
      <c r="D3" s="1712"/>
      <c r="F3" s="832" t="s">
        <v>2159</v>
      </c>
      <c r="G3" s="743"/>
      <c r="H3" s="743"/>
      <c r="I3" s="742" t="s">
        <v>2260</v>
      </c>
      <c r="J3" s="836" t="s">
        <v>2239</v>
      </c>
      <c r="K3" s="836" t="s">
        <v>2239</v>
      </c>
      <c r="L3" s="1722" t="str">
        <f>IF('5. Import Checklist'!C14="ROPE Ready for Upload",'5. Import Checklist'!C14,"ROPE INCOMPLETE -- WILL NOT UPLOAD")</f>
        <v>ROPE Ready for Upload</v>
      </c>
      <c r="M3" s="1723"/>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8" t="s">
        <v>2315</v>
      </c>
      <c r="D7" s="1718"/>
      <c r="E7" s="1718"/>
      <c r="F7" s="1718"/>
      <c r="G7" s="1718"/>
      <c r="H7" s="1719"/>
      <c r="I7" s="1718"/>
      <c r="J7" s="837"/>
      <c r="K7" s="1655" t="s">
        <v>13</v>
      </c>
      <c r="L7" s="1655"/>
      <c r="M7" s="1655"/>
      <c r="N7" s="1655"/>
      <c r="O7" s="1655"/>
      <c r="P7" s="1655"/>
      <c r="Q7" s="1655"/>
      <c r="R7" s="779"/>
      <c r="S7" s="1210"/>
      <c r="AH7" s="787"/>
      <c r="AI7" s="846"/>
      <c r="AJ7" s="846"/>
    </row>
    <row r="8" spans="1:152" s="624" customFormat="1" x14ac:dyDescent="0.35">
      <c r="C8" s="1726" t="s">
        <v>3241</v>
      </c>
      <c r="D8" s="1726"/>
      <c r="E8" s="1726"/>
      <c r="F8" s="1726"/>
      <c r="G8" s="1726"/>
      <c r="H8" s="1726"/>
      <c r="I8" s="1726"/>
      <c r="J8" s="1726"/>
      <c r="K8" s="1726"/>
      <c r="L8" s="1726"/>
      <c r="M8" s="1726"/>
      <c r="N8" s="1726"/>
      <c r="O8" s="779"/>
      <c r="P8" s="779"/>
      <c r="Q8" s="779"/>
      <c r="R8" s="779"/>
      <c r="S8" s="1210"/>
      <c r="AH8" s="787"/>
      <c r="AI8" s="846"/>
      <c r="AJ8" s="846"/>
    </row>
    <row r="9" spans="1:152" s="624" customFormat="1" x14ac:dyDescent="0.35">
      <c r="C9" s="1726" t="s">
        <v>3201</v>
      </c>
      <c r="D9" s="1726"/>
      <c r="E9" s="1726"/>
      <c r="F9" s="1726"/>
      <c r="G9" s="1726"/>
      <c r="H9" s="1726"/>
      <c r="I9" s="1726"/>
      <c r="J9" s="1726"/>
      <c r="K9" s="1726"/>
      <c r="L9" s="1726"/>
      <c r="M9" s="1726"/>
      <c r="N9" s="1726"/>
      <c r="O9" s="791"/>
      <c r="P9" s="791"/>
      <c r="Q9" s="405"/>
      <c r="R9" s="405"/>
      <c r="S9" s="1217"/>
      <c r="AH9" s="787"/>
      <c r="AI9" s="846"/>
      <c r="AJ9" s="846"/>
    </row>
    <row r="10" spans="1:152" s="624" customFormat="1" ht="14" customHeight="1" x14ac:dyDescent="0.35">
      <c r="C10" s="1726" t="s">
        <v>3242</v>
      </c>
      <c r="D10" s="1726"/>
      <c r="E10" s="1726"/>
      <c r="F10" s="1726"/>
      <c r="G10" s="1726"/>
      <c r="H10" s="1726"/>
      <c r="I10" s="1726"/>
      <c r="J10" s="1726"/>
      <c r="K10" s="1726"/>
      <c r="L10" s="1726"/>
      <c r="M10" s="1726"/>
      <c r="N10" s="1726"/>
      <c r="O10" s="779"/>
      <c r="P10" s="779"/>
      <c r="Q10" s="405"/>
      <c r="R10" s="405"/>
      <c r="S10" s="1217"/>
      <c r="AH10" s="787"/>
      <c r="AI10" s="846"/>
      <c r="AJ10" s="846"/>
    </row>
    <row r="11" spans="1:152" s="624" customFormat="1" x14ac:dyDescent="0.35">
      <c r="C11" s="1726" t="s">
        <v>3243</v>
      </c>
      <c r="D11" s="1726"/>
      <c r="E11" s="1726"/>
      <c r="F11" s="1726"/>
      <c r="G11" s="1726"/>
      <c r="H11" s="1726"/>
      <c r="I11" s="1726"/>
      <c r="J11" s="1726"/>
      <c r="K11" s="1726"/>
      <c r="L11" s="1726"/>
      <c r="M11" s="1726"/>
      <c r="N11" s="1726"/>
      <c r="O11" s="1468"/>
      <c r="P11" s="1468"/>
      <c r="Q11" s="405"/>
      <c r="R11" s="405"/>
      <c r="S11" s="1217"/>
      <c r="AH11" s="787"/>
      <c r="AI11" s="846"/>
      <c r="AJ11" s="846"/>
    </row>
    <row r="12" spans="1:152" s="624" customFormat="1" x14ac:dyDescent="0.35">
      <c r="C12" s="1725" t="s">
        <v>3244</v>
      </c>
      <c r="D12" s="1725"/>
      <c r="E12" s="1725"/>
      <c r="F12" s="1725"/>
      <c r="G12" s="1725"/>
      <c r="H12" s="1725"/>
      <c r="I12" s="1725"/>
      <c r="J12" s="1725"/>
      <c r="K12" s="1725"/>
      <c r="L12" s="1725"/>
      <c r="M12" s="1725"/>
      <c r="N12" s="1725"/>
      <c r="O12" s="1725"/>
      <c r="P12" s="1725"/>
      <c r="Q12" s="1725"/>
      <c r="R12" s="1725"/>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20" t="s">
        <v>3245</v>
      </c>
      <c r="D15" s="1720"/>
      <c r="E15" s="1720"/>
      <c r="F15" s="1720"/>
      <c r="G15" s="1720"/>
      <c r="H15" s="1720"/>
      <c r="I15" s="1720"/>
      <c r="AH15" s="845"/>
      <c r="AI15" s="846"/>
      <c r="AJ15" s="846"/>
    </row>
    <row r="16" spans="1:152" x14ac:dyDescent="0.3">
      <c r="AH16" s="404"/>
      <c r="AI16" s="477"/>
      <c r="AJ16" s="477"/>
    </row>
    <row r="17" spans="3:97" ht="23.5" customHeight="1" x14ac:dyDescent="0.3">
      <c r="C17" s="1704" t="s">
        <v>2199</v>
      </c>
      <c r="D17" s="1705"/>
      <c r="E17" s="1705"/>
      <c r="F17" s="1706"/>
      <c r="G17" s="479"/>
      <c r="H17" s="479"/>
      <c r="J17" s="479"/>
      <c r="K17" s="480"/>
      <c r="L17" s="480"/>
      <c r="M17" s="480"/>
      <c r="N17" s="480"/>
      <c r="O17" s="1713"/>
      <c r="P17" s="1713"/>
      <c r="Q17" s="1713"/>
      <c r="R17" s="1713"/>
      <c r="S17" s="1713"/>
      <c r="T17" s="1713"/>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8" t="s">
        <v>15</v>
      </c>
      <c r="D18" s="1738"/>
      <c r="E18" s="1672" t="str">
        <f>'1. Project Inputs'!C17</f>
        <v>Dallas</v>
      </c>
      <c r="F18" s="1673"/>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9" t="s">
        <v>1304</v>
      </c>
      <c r="D19" s="1739"/>
      <c r="E19" s="1674" t="str">
        <f>'1. Project Inputs'!C18</f>
        <v>C Spire</v>
      </c>
      <c r="F19" s="1675"/>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6"/>
      <c r="AJ19" s="1716"/>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9" t="s">
        <v>3572</v>
      </c>
      <c r="D20" s="1739"/>
      <c r="E20" s="1674" t="str">
        <f>'1. Project Inputs'!C19</f>
        <v>TA Digital</v>
      </c>
      <c r="F20" s="1675"/>
      <c r="G20" s="488"/>
      <c r="H20" s="488"/>
      <c r="I20" s="488"/>
      <c r="J20" s="488"/>
      <c r="K20" s="494"/>
      <c r="L20" s="1607"/>
      <c r="M20" s="1609"/>
      <c r="N20" s="494"/>
      <c r="O20" s="804"/>
      <c r="P20" s="804"/>
      <c r="Q20" s="804"/>
      <c r="R20" s="804"/>
      <c r="S20" s="804"/>
      <c r="T20" s="496"/>
      <c r="U20" s="496"/>
      <c r="V20" s="399"/>
      <c r="W20" s="399"/>
      <c r="X20" s="399"/>
      <c r="Y20" s="399"/>
      <c r="Z20" s="496"/>
      <c r="AH20" s="495"/>
      <c r="AI20" s="1714"/>
      <c r="AJ20" s="1714"/>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9" t="s">
        <v>19</v>
      </c>
      <c r="D21" s="1739"/>
      <c r="E21" s="1674" t="str">
        <f>'1. Project Inputs'!C19</f>
        <v>TA Digital</v>
      </c>
      <c r="F21" s="1675"/>
      <c r="G21" s="488"/>
      <c r="H21" s="488"/>
      <c r="I21" s="488"/>
      <c r="J21" s="488"/>
      <c r="K21" s="494"/>
      <c r="L21" s="1622" t="s">
        <v>3298</v>
      </c>
      <c r="M21" s="1623">
        <f>'[2]4. Summary &amp; Totals'!C45</f>
        <v>787521</v>
      </c>
      <c r="N21" s="494"/>
      <c r="O21" s="804"/>
      <c r="P21" s="804"/>
      <c r="Q21" s="804"/>
      <c r="R21" s="804"/>
      <c r="S21" s="804"/>
      <c r="T21" s="496"/>
      <c r="U21" s="496"/>
      <c r="V21" s="399"/>
      <c r="W21" s="399"/>
      <c r="X21" s="399"/>
      <c r="Y21" s="399"/>
      <c r="Z21" s="496"/>
      <c r="AH21" s="495"/>
      <c r="AI21" s="1714"/>
      <c r="AJ21" s="1714"/>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9" t="s">
        <v>3297</v>
      </c>
      <c r="D22" s="1739"/>
      <c r="E22" s="1674" t="str">
        <f>'1. Project Inputs'!C20</f>
        <v>No</v>
      </c>
      <c r="F22" s="1675"/>
      <c r="G22" s="488"/>
      <c r="H22" s="488"/>
      <c r="I22" s="488"/>
      <c r="J22" s="488"/>
      <c r="K22" s="494"/>
      <c r="L22" s="1622" t="s">
        <v>1673</v>
      </c>
      <c r="M22" s="1624">
        <f>'[2]4. Summary &amp; Totals'!C37</f>
        <v>0.53970619544390042</v>
      </c>
      <c r="N22" s="494"/>
      <c r="O22" s="804"/>
      <c r="P22" s="804"/>
      <c r="Q22" s="804"/>
      <c r="R22" s="804"/>
      <c r="S22" s="804"/>
      <c r="T22" s="496"/>
      <c r="U22" s="496"/>
      <c r="V22" s="399"/>
      <c r="W22" s="399"/>
      <c r="X22" s="399"/>
      <c r="Y22" s="399"/>
      <c r="Z22" s="496"/>
      <c r="AH22" s="495"/>
      <c r="AI22" s="1714"/>
      <c r="AJ22" s="1714"/>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40" t="s">
        <v>2064</v>
      </c>
      <c r="D23" s="1740"/>
      <c r="E23" s="1674">
        <f>'1. Project Inputs'!C22</f>
        <v>1324</v>
      </c>
      <c r="F23" s="1675"/>
      <c r="G23" s="488"/>
      <c r="H23" s="488"/>
      <c r="I23" s="488"/>
      <c r="J23" s="488"/>
      <c r="K23" s="494"/>
      <c r="L23" s="1622" t="s">
        <v>3690</v>
      </c>
      <c r="M23" s="1622" t="str">
        <f>'[2]6. Commercial Review'!B69</f>
        <v>Missing Information</v>
      </c>
      <c r="N23" s="494"/>
      <c r="O23" s="804"/>
      <c r="P23" s="804"/>
      <c r="Q23" s="804"/>
      <c r="R23" s="804"/>
      <c r="S23" s="804"/>
      <c r="T23" s="496"/>
      <c r="U23" s="496"/>
      <c r="V23" s="399"/>
      <c r="W23" s="399"/>
      <c r="X23" s="399"/>
      <c r="Y23" s="399"/>
      <c r="Z23" s="496"/>
      <c r="AH23" s="495"/>
      <c r="AI23" s="1714"/>
      <c r="AJ23" s="1714"/>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40" t="s">
        <v>22</v>
      </c>
      <c r="D24" s="1740"/>
      <c r="E24" s="1674" t="str">
        <f>'1. Project Inputs'!C23</f>
        <v>AEM implementation for MathCodeInc</v>
      </c>
      <c r="F24" s="1675"/>
      <c r="G24" s="488"/>
      <c r="H24" s="488"/>
      <c r="I24" s="488"/>
      <c r="J24" s="488"/>
      <c r="K24" s="484"/>
      <c r="L24" s="1622" t="s">
        <v>1466</v>
      </c>
      <c r="M24" s="1624">
        <f>'[2]3. Financial Inputs'!C65</f>
        <v>0.08</v>
      </c>
      <c r="N24" s="484"/>
      <c r="O24" s="804"/>
      <c r="P24" s="804"/>
      <c r="Q24" s="804"/>
      <c r="R24" s="804"/>
      <c r="S24" s="804"/>
      <c r="T24" s="496"/>
      <c r="U24" s="496"/>
      <c r="V24" s="399"/>
      <c r="W24" s="399"/>
      <c r="X24" s="399"/>
      <c r="Y24" s="399"/>
      <c r="Z24" s="496"/>
      <c r="AC24" s="1730" t="s">
        <v>100</v>
      </c>
      <c r="AD24" s="1730"/>
      <c r="AE24" s="1730"/>
      <c r="AF24" s="1730"/>
      <c r="AH24" s="495"/>
      <c r="AI24" s="1714"/>
      <c r="AJ24" s="1714"/>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40" t="s">
        <v>23</v>
      </c>
      <c r="D25" s="1740"/>
      <c r="E25" s="1672" t="str">
        <f>'1. Project Inputs'!C24</f>
        <v>Digital - Systems Implementation</v>
      </c>
      <c r="F25" s="1673"/>
      <c r="G25" s="488"/>
      <c r="H25" s="488"/>
      <c r="I25" s="488"/>
      <c r="J25" s="488"/>
      <c r="K25" s="413"/>
      <c r="L25" s="413"/>
      <c r="M25" s="413"/>
      <c r="N25" s="413"/>
      <c r="O25" s="804"/>
      <c r="P25" s="804"/>
      <c r="Q25" s="804"/>
      <c r="R25" s="804"/>
      <c r="S25" s="804"/>
      <c r="T25" s="496"/>
      <c r="U25" s="496"/>
      <c r="V25" s="399"/>
      <c r="W25" s="399"/>
      <c r="X25" s="399"/>
      <c r="Y25" s="399"/>
      <c r="Z25" s="496"/>
      <c r="AB25" s="466"/>
      <c r="AC25" s="1730"/>
      <c r="AD25" s="1730"/>
      <c r="AE25" s="1730"/>
      <c r="AF25" s="1730"/>
      <c r="AH25" s="495"/>
      <c r="AI25" s="1714"/>
      <c r="AJ25" s="1714"/>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40" t="s">
        <v>24</v>
      </c>
      <c r="D26" s="1740"/>
      <c r="E26" s="1672" t="str">
        <f>'1. Project Inputs'!C25</f>
        <v>Standard Rates</v>
      </c>
      <c r="F26" s="1673"/>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4"/>
      <c r="AJ26" s="1714"/>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41" t="s">
        <v>2311</v>
      </c>
      <c r="D27" s="1741"/>
      <c r="E27" s="1674" t="str">
        <f>IF(ISBLANK('1. Project Inputs'!C26)," ",'1. Project Inputs'!C26)</f>
        <v xml:space="preserve"> </v>
      </c>
      <c r="F27" s="1675"/>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4"/>
      <c r="AJ27" s="1714"/>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9" t="s">
        <v>1890</v>
      </c>
      <c r="D28" s="1739"/>
      <c r="E28" s="1676">
        <f>'1. Project Inputs'!C27</f>
        <v>45931</v>
      </c>
      <c r="F28" s="1677"/>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663600</v>
      </c>
      <c r="AE28" s="517">
        <f>IF(AE48="","",SUMIFS($D$291:$D$390,$AE$48:$AE$147,"Yes"))</f>
        <v>303600</v>
      </c>
      <c r="AF28" s="1457">
        <f>IF(AF48="","",SUMIFS($D$291:$D$390,$AF$48:$AF$147,"Yes"))</f>
        <v>363600</v>
      </c>
      <c r="AH28" s="495"/>
      <c r="AI28" s="1714"/>
      <c r="AJ28" s="1714"/>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9" t="s">
        <v>27</v>
      </c>
      <c r="D29" s="1739"/>
      <c r="E29" s="1676" t="str">
        <f>'1. Project Inputs'!C28</f>
        <v>T&amp;M</v>
      </c>
      <c r="F29" s="1677"/>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570</v>
      </c>
      <c r="AE29" s="517">
        <f>IF(AE48="","",SUMIFS($F$291:$F$390,$AE$48:$AE$147,"Yes"))</f>
        <v>270</v>
      </c>
      <c r="AF29" s="1457">
        <f>IF(AF48="","",SUMIFS($F$291:$F$390,$AF$48:$AF$147,"Yes"))</f>
        <v>320</v>
      </c>
      <c r="AH29" s="495"/>
      <c r="AI29" s="1714"/>
      <c r="AJ29" s="1714"/>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2" t="s">
        <v>2286</v>
      </c>
      <c r="D30" s="1742"/>
      <c r="E30" s="1678">
        <f>'1. Project Inputs'!C29</f>
        <v>30</v>
      </c>
      <c r="F30" s="1679"/>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9.8958333333333329E-2</v>
      </c>
      <c r="AE30" s="1459">
        <f>IFERROR(AE29/SUMIFS($M$291:$M$390,AE48:AE147,"Yes"),"")</f>
        <v>0.125</v>
      </c>
      <c r="AF30" s="1460">
        <f>IFERROR(AF29/SUMIFS($M$291:$M$390,AF48:AF147,"Yes"),"")</f>
        <v>9.5238095238095233E-2</v>
      </c>
      <c r="AH30" s="441"/>
      <c r="AI30" s="1714"/>
      <c r="AJ30" s="1714"/>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701" t="s">
        <v>2292</v>
      </c>
      <c r="G32" s="1701"/>
      <c r="H32" s="1701"/>
      <c r="I32" s="1701"/>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7" t="s">
        <v>3202</v>
      </c>
      <c r="D35" s="1707"/>
      <c r="E35" s="1707"/>
      <c r="F35" s="1707"/>
      <c r="G35" s="1707"/>
      <c r="H35" s="1707"/>
      <c r="I35" s="1707"/>
      <c r="J35" s="1707"/>
      <c r="K35" s="1707"/>
      <c r="L35" s="1707"/>
      <c r="M35" s="1707"/>
      <c r="N35" s="1707"/>
      <c r="O35" s="1707"/>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3" t="s">
        <v>2315</v>
      </c>
      <c r="D36" s="1693"/>
      <c r="E36" s="1693"/>
      <c r="F36" s="1693"/>
      <c r="G36" s="1693"/>
      <c r="H36" s="1693"/>
      <c r="I36" s="1693"/>
      <c r="J36" s="1693"/>
      <c r="K36" s="1693"/>
      <c r="L36" s="1693"/>
      <c r="M36" s="1693"/>
      <c r="N36" s="1693"/>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2" t="s">
        <v>3234</v>
      </c>
      <c r="D37" s="1702"/>
      <c r="E37" s="1702"/>
      <c r="F37" s="1702"/>
      <c r="G37" s="1702"/>
      <c r="H37" s="1702"/>
      <c r="I37" s="1702"/>
      <c r="J37" s="1702"/>
      <c r="K37" s="1702"/>
      <c r="L37" s="1702"/>
      <c r="M37" s="1702"/>
      <c r="N37" s="1702"/>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2" t="s">
        <v>3235</v>
      </c>
      <c r="D38" s="1702"/>
      <c r="E38" s="1702"/>
      <c r="F38" s="1702"/>
      <c r="G38" s="1702"/>
      <c r="H38" s="1702"/>
      <c r="I38" s="1702"/>
      <c r="J38" s="1702"/>
      <c r="K38" s="1702"/>
      <c r="L38" s="1702"/>
      <c r="M38" s="1702"/>
      <c r="N38" s="1702"/>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4" t="s">
        <v>3236</v>
      </c>
      <c r="D39" s="1744"/>
      <c r="E39" s="1744"/>
      <c r="F39" s="1744"/>
      <c r="G39" s="1744"/>
      <c r="H39" s="1744"/>
      <c r="I39" s="1744"/>
      <c r="J39" s="1744"/>
      <c r="K39" s="1744"/>
      <c r="L39" s="1744"/>
      <c r="M39" s="1744"/>
      <c r="N39" s="1744"/>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2" t="s">
        <v>3237</v>
      </c>
      <c r="D40" s="1702"/>
      <c r="E40" s="1702"/>
      <c r="F40" s="1702"/>
      <c r="G40" s="1702"/>
      <c r="H40" s="1702"/>
      <c r="I40" s="1702"/>
      <c r="J40" s="1702"/>
      <c r="K40" s="1702"/>
      <c r="L40" s="1702"/>
      <c r="M40" s="1702"/>
      <c r="N40" s="1702"/>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5" t="s">
        <v>3203</v>
      </c>
      <c r="D41" s="1745"/>
      <c r="E41" s="1745"/>
      <c r="F41" s="1745"/>
      <c r="G41" s="1745"/>
      <c r="H41" s="1745"/>
      <c r="I41" s="1745"/>
      <c r="J41" s="1745"/>
      <c r="K41" s="1745"/>
      <c r="L41" s="1745"/>
      <c r="M41" s="1745"/>
      <c r="N41" s="1745"/>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2" t="s">
        <v>3238</v>
      </c>
      <c r="D42" s="1702"/>
      <c r="E42" s="1702"/>
      <c r="F42" s="1702"/>
      <c r="G42" s="1702"/>
      <c r="H42" s="1702"/>
      <c r="I42" s="1702"/>
      <c r="J42" s="1702"/>
      <c r="K42" s="1702"/>
      <c r="L42" s="1702"/>
      <c r="M42" s="1702"/>
      <c r="N42" s="1702"/>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8" t="s">
        <v>3239</v>
      </c>
      <c r="D43" s="1708"/>
      <c r="E43" s="1708"/>
      <c r="F43" s="1708"/>
      <c r="G43" s="1708"/>
      <c r="H43" s="1708"/>
      <c r="I43" s="1708"/>
      <c r="J43" s="1708"/>
      <c r="K43" s="1708"/>
      <c r="L43" s="1708"/>
      <c r="M43" s="1708"/>
      <c r="N43" s="1708"/>
      <c r="O43" s="842"/>
      <c r="P43" s="842"/>
      <c r="Q43" s="842"/>
      <c r="R43" s="842"/>
      <c r="S43" s="842"/>
      <c r="T43" s="841"/>
      <c r="U43" s="841"/>
      <c r="V43" s="841"/>
      <c r="W43" s="841"/>
      <c r="X43" s="841"/>
      <c r="Y43" s="1665" t="str">
        <f>IF(COUNTIFS(Y48:Y147,"&gt;40")&gt;0,"You have one or more resource staffed over 40 hours a week. If this was intentional, please ignore this message. If this was in error, please check your scheduled weekly hours.","")</f>
        <v/>
      </c>
      <c r="Z43" s="1665"/>
      <c r="AA43" s="1665"/>
      <c r="AB43" s="1665"/>
      <c r="AC43" s="841"/>
      <c r="AD43" s="841"/>
      <c r="AE43" s="841"/>
      <c r="AF43" s="518"/>
      <c r="AG43" s="843"/>
      <c r="AH43" s="844"/>
      <c r="AI43" s="844"/>
      <c r="AJ43" s="843"/>
      <c r="AK43" s="843"/>
      <c r="AL43" s="843"/>
      <c r="AM43" s="843"/>
      <c r="CM43" s="838"/>
    </row>
    <row r="44" spans="1:97" s="624" customFormat="1" ht="14" customHeight="1" x14ac:dyDescent="0.35">
      <c r="B44" s="841"/>
      <c r="C44" s="1709" t="s">
        <v>3240</v>
      </c>
      <c r="D44" s="1709"/>
      <c r="E44" s="1709"/>
      <c r="F44" s="1709"/>
      <c r="G44" s="1709"/>
      <c r="H44" s="1709"/>
      <c r="I44" s="1709"/>
      <c r="J44" s="1709"/>
      <c r="K44" s="1709"/>
      <c r="L44" s="1709"/>
      <c r="M44" s="1709"/>
      <c r="N44" s="1709"/>
      <c r="O44" s="842"/>
      <c r="P44" s="842"/>
      <c r="Q44" s="842"/>
      <c r="R44" s="842"/>
      <c r="S44" s="842"/>
      <c r="T44" s="841"/>
      <c r="U44" s="841"/>
      <c r="V44" s="841"/>
      <c r="W44" s="841"/>
      <c r="X44" s="841"/>
      <c r="Y44" s="1665"/>
      <c r="Z44" s="1665"/>
      <c r="AA44" s="1665"/>
      <c r="AB44" s="1665"/>
      <c r="AC44" s="841"/>
      <c r="AD44" s="841"/>
      <c r="AE44" s="841"/>
      <c r="AF44" s="518"/>
      <c r="AG44" s="843"/>
      <c r="AH44" s="844"/>
      <c r="AI44" s="844"/>
      <c r="AJ44" s="843"/>
      <c r="AK44" s="843"/>
      <c r="AL44" s="843"/>
      <c r="AM44" s="843"/>
      <c r="CM44" s="838"/>
    </row>
    <row r="45" spans="1:97" x14ac:dyDescent="0.3">
      <c r="Y45" s="1665"/>
      <c r="Z45" s="1665"/>
      <c r="AA45" s="1665"/>
      <c r="AB45" s="1665"/>
    </row>
    <row r="46" spans="1:97" s="624" customFormat="1" ht="14" customHeight="1" x14ac:dyDescent="0.35">
      <c r="B46" s="841"/>
      <c r="C46" s="1731"/>
      <c r="D46" s="1731"/>
      <c r="E46" s="1731"/>
      <c r="F46" s="1731"/>
      <c r="G46" s="1731"/>
      <c r="H46" s="1731"/>
      <c r="I46" s="1731"/>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3419</v>
      </c>
      <c r="I47" s="1279" t="s">
        <v>3208</v>
      </c>
      <c r="J47" s="1280" t="s">
        <v>2368</v>
      </c>
      <c r="K47" s="1680" t="s">
        <v>237</v>
      </c>
      <c r="L47" s="1680"/>
      <c r="M47" s="1680"/>
      <c r="N47" s="1279" t="s">
        <v>2406</v>
      </c>
      <c r="O47" s="1680" t="s">
        <v>238</v>
      </c>
      <c r="P47" s="1680"/>
      <c r="Q47" s="1680"/>
      <c r="R47" s="1680"/>
      <c r="S47" s="1680"/>
      <c r="T47" s="1710" t="str">
        <f>IF('1. Project Inputs'!C25="Client Custom Rates","Custom Client Rate Card Title","Custom Client Rate Title Do Not Use")</f>
        <v>Custom Client Rate Title Do Not Use</v>
      </c>
      <c r="U47" s="1710"/>
      <c r="V47" s="1281" t="s">
        <v>2369</v>
      </c>
      <c r="W47" s="1281" t="s">
        <v>2314</v>
      </c>
      <c r="X47" s="1594" t="s">
        <v>2096</v>
      </c>
      <c r="Y47" s="1280" t="s">
        <v>2259</v>
      </c>
      <c r="Z47" s="1279" t="s">
        <v>2096</v>
      </c>
      <c r="AA47" s="1279" t="s">
        <v>2258</v>
      </c>
      <c r="AB47" s="1279" t="s">
        <v>64</v>
      </c>
      <c r="AC47" s="1680" t="s">
        <v>104</v>
      </c>
      <c r="AD47" s="1681"/>
      <c r="AE47" s="1282" t="s">
        <v>105</v>
      </c>
      <c r="AF47" s="1279" t="s">
        <v>106</v>
      </c>
      <c r="AH47" s="1729"/>
      <c r="AI47" s="1729"/>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279</v>
      </c>
      <c r="G48" s="1187" t="str">
        <f>IFERROR(_xlfn.XLOOKUP(F48,'Rates &amp; Drop Downs INT'!$CI$6:$CI$747,'Rates &amp; Drop Downs INT'!$CJ$6:$CJ$747),"")</f>
        <v>DOTNET_Sitecore</v>
      </c>
      <c r="H48" s="1187" t="str">
        <f>_xlfn.XLOOKUP(F48,'Rates &amp; Drop Downs INT'!$DF$6:$DF$173,'Rates &amp; Drop Downs INT'!$DG$6:$DG$173,"")</f>
        <v>SITECORESP</v>
      </c>
      <c r="I48" s="1183" t="s">
        <v>3433</v>
      </c>
      <c r="J48" s="1184" t="str">
        <f>C48</f>
        <v>TADIndia</v>
      </c>
      <c r="K48" s="1689" t="s">
        <v>534</v>
      </c>
      <c r="L48" s="1690"/>
      <c r="M48" s="1691"/>
      <c r="N48" s="1190" cm="1">
        <f t="array" ref="N48">IF($E$20="Credera US",V48,SUMPRODUCT(('Rates &amp; Drop Downs INT'!$CG$6:$CG$747=$D48)*('Rates &amp; Drop Downs INT'!$CI$6:$CI$747=$F48)*('Rates &amp; Drop Downs INT'!$CK$6:$CK$747=$K48)*('Rates &amp; Drop Downs INT'!$CM$6:$CM$747)))</f>
        <v>2</v>
      </c>
      <c r="O48" s="1703"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3"/>
      <c r="Q48" s="1703"/>
      <c r="R48" s="1703"/>
      <c r="S48" s="1703"/>
      <c r="T48" s="1711"/>
      <c r="U48" s="1711"/>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2" t="s">
        <v>78</v>
      </c>
      <c r="AD48" s="1683"/>
      <c r="AE48" s="1596" t="s">
        <v>275</v>
      </c>
      <c r="AF48" s="891" t="s">
        <v>78</v>
      </c>
      <c r="AH48" s="1727"/>
      <c r="AI48" s="1727"/>
      <c r="CM48" s="425"/>
    </row>
    <row r="49" spans="3:91" ht="16" customHeight="1" x14ac:dyDescent="0.3">
      <c r="C49" s="1186" t="s">
        <v>269</v>
      </c>
      <c r="D49" s="1187" t="s">
        <v>297</v>
      </c>
      <c r="E49" s="1187" t="str">
        <f>IFERROR(_xlfn.XLOOKUP(D49,TADIndia,'Rates &amp; Drop Downs INT'!$CH$6:$CH$747),"")</f>
        <v>DOTNET</v>
      </c>
      <c r="F49" s="1187" t="s">
        <v>279</v>
      </c>
      <c r="G49" s="1187" t="str">
        <f>IFERROR(_xlfn.XLOOKUP(F49,'Rates &amp; Drop Downs INT'!$CI$6:$CI$747,'Rates &amp; Drop Downs INT'!$CJ$6:$CJ$747),"")</f>
        <v>DOTNET_Sitecore</v>
      </c>
      <c r="H49" s="1187" t="str">
        <f>_xlfn.XLOOKUP(F49,'Rates &amp; Drop Downs INT'!$DF$6:$DF$173,'Rates &amp; Drop Downs INT'!$DG$6:$DG$173,"")</f>
        <v>SITECORESP</v>
      </c>
      <c r="I49" s="1187" t="s">
        <v>3434</v>
      </c>
      <c r="J49" s="1188" t="str">
        <f>C49</f>
        <v>TADIndia</v>
      </c>
      <c r="K49" s="1689" t="s">
        <v>536</v>
      </c>
      <c r="L49" s="1690"/>
      <c r="M49" s="1691"/>
      <c r="N49" s="1190" cm="1">
        <f t="array" ref="N49">IF($E$20="Credera US",V49,SUMPRODUCT(('Rates &amp; Drop Downs INT'!$CG$6:$CG$747=$D49)*('Rates &amp; Drop Downs INT'!$CI$6:$CI$747=$F49)*('Rates &amp; Drop Downs INT'!$CK$6:$CK$747=$K49)*('Rates &amp; Drop Downs INT'!$CM$6:$CM$747)))</f>
        <v>3</v>
      </c>
      <c r="O49" s="1696"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7"/>
      <c r="Q49" s="1697"/>
      <c r="R49" s="1697"/>
      <c r="S49" s="1698"/>
      <c r="T49" s="1699"/>
      <c r="U49" s="1700"/>
      <c r="V49" s="1222">
        <f>IFERROR(IF(ISBLANK(K49)," ",_xlfn.XLOOKUP(K49,'Rates &amp; Drop Downs INT'!C:C,'Rates &amp; Drop Downs INT'!J:J)),N49)</f>
        <v>0</v>
      </c>
      <c r="W49" s="1203" t="str">
        <f t="shared" ref="W49:W112" si="0">IF(ISBLANK($K49)," ",IF(OR($C49="Credera US",$C49="TADNorthAmerica"),"Onshore","Offshore"))</f>
        <v>Offshore</v>
      </c>
      <c r="X49" s="1203"/>
      <c r="Y49" s="880">
        <v>40</v>
      </c>
      <c r="Z49" s="1187"/>
      <c r="AA49" s="1190"/>
      <c r="AB49" s="1274"/>
      <c r="AC49" s="1668" t="s">
        <v>78</v>
      </c>
      <c r="AD49" s="1669"/>
      <c r="AE49" s="881" t="s">
        <v>78</v>
      </c>
      <c r="AF49" s="892" t="s">
        <v>78</v>
      </c>
      <c r="AH49" s="1727"/>
      <c r="AI49" s="1727"/>
      <c r="CM49" s="425"/>
    </row>
    <row r="50" spans="3:91" ht="16" customHeight="1" x14ac:dyDescent="0.3">
      <c r="C50" s="1186" t="s">
        <v>430</v>
      </c>
      <c r="D50" s="1187" t="s">
        <v>262</v>
      </c>
      <c r="E50" s="1187" t="str">
        <f>IFERROR(_xlfn.XLOOKUP(D50,TADIndia,'Rates &amp; Drop Downs INT'!$CH$6:$CH$747),"")</f>
        <v>Adobe</v>
      </c>
      <c r="F50" s="1187" t="s">
        <v>1211</v>
      </c>
      <c r="G50" s="1187" t="str">
        <f>IFERROR(_xlfn.XLOOKUP(F50,'Rates &amp; Drop Downs INT'!$CI$6:$CI$747,'Rates &amp; Drop Downs INT'!$CJ$6:$CJ$747),"")</f>
        <v>Adobe_Experience_Management</v>
      </c>
      <c r="H50" s="1187" t="str">
        <f>_xlfn.XLOOKUP(F50,'Rates &amp; Drop Downs INT'!$DF$6:$DF$173,'Rates &amp; Drop Downs INT'!$DG$6:$DG$173,"")</f>
        <v>EXPERIENCEMANAGEMENTSP</v>
      </c>
      <c r="I50" s="1187"/>
      <c r="J50" s="1188" t="str">
        <f>C50</f>
        <v>TADNorthAmerica</v>
      </c>
      <c r="K50" s="1689" t="s">
        <v>536</v>
      </c>
      <c r="L50" s="1690"/>
      <c r="M50" s="1691"/>
      <c r="N50" s="1190" cm="1">
        <f t="array" ref="N50">IF($E$20="Credera US",V50,SUMPRODUCT(('Rates &amp; Drop Downs INT'!$CG$6:$CG$747=$D50)*('Rates &amp; Drop Downs INT'!$CI$6:$CI$747=$F50)*('Rates &amp; Drop Downs INT'!$CK$6:$CK$747=$K50)*('Rates &amp; Drop Downs INT'!$CM$6:$CM$747)))</f>
        <v>3</v>
      </c>
      <c r="O50" s="1696"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7"/>
      <c r="Q50" s="1697"/>
      <c r="R50" s="1697"/>
      <c r="S50" s="1698"/>
      <c r="T50" s="1699"/>
      <c r="U50" s="1700"/>
      <c r="V50" s="1222">
        <f>IFERROR(IF(ISBLANK(K50)," ",_xlfn.XLOOKUP(K50,'Rates &amp; Drop Downs INT'!C:C,'Rates &amp; Drop Downs INT'!J:J)),N50)</f>
        <v>0</v>
      </c>
      <c r="W50" s="1203" t="str">
        <f t="shared" si="0"/>
        <v>Onshore</v>
      </c>
      <c r="X50" s="1203"/>
      <c r="Y50" s="880">
        <v>40</v>
      </c>
      <c r="Z50" s="1187"/>
      <c r="AA50" s="1190"/>
      <c r="AB50" s="1274"/>
      <c r="AC50" s="1668" t="s">
        <v>78</v>
      </c>
      <c r="AD50" s="1669"/>
      <c r="AE50" s="881" t="s">
        <v>78</v>
      </c>
      <c r="AF50" s="892"/>
      <c r="AH50" s="1727"/>
      <c r="AI50" s="1727"/>
      <c r="CM50" s="425"/>
    </row>
    <row r="51" spans="3:91" ht="16" customHeight="1" x14ac:dyDescent="0.3">
      <c r="C51" s="1186" t="s">
        <v>430</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TADNorthAmerica</v>
      </c>
      <c r="K51" s="1689" t="s">
        <v>749</v>
      </c>
      <c r="L51" s="1690"/>
      <c r="M51" s="1691"/>
      <c r="N51" s="1190" cm="1">
        <f t="array" ref="N51">IF($E$20="Credera US",V51,SUMPRODUCT(('Rates &amp; Drop Downs INT'!$CG$6:$CG$747=$D51)*('Rates &amp; Drop Downs INT'!$CI$6:$CI$747=$F51)*('Rates &amp; Drop Downs INT'!$CK$6:$CK$747=$K51)*('Rates &amp; Drop Downs INT'!$CM$6:$CM$747)))</f>
        <v>2</v>
      </c>
      <c r="O51" s="1696"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7"/>
      <c r="Q51" s="1697"/>
      <c r="R51" s="1697"/>
      <c r="S51" s="1698"/>
      <c r="T51" s="1699"/>
      <c r="U51" s="1700"/>
      <c r="V51" s="1222">
        <f>IFERROR(IF(ISBLANK(K51)," ",_xlfn.XLOOKUP(K51,'Rates &amp; Drop Downs INT'!C:C,'Rates &amp; Drop Downs INT'!J:J)),N51)</f>
        <v>2</v>
      </c>
      <c r="W51" s="1203" t="str">
        <f t="shared" si="0"/>
        <v>Onshore</v>
      </c>
      <c r="X51" s="1203"/>
      <c r="Y51" s="880">
        <v>40</v>
      </c>
      <c r="Z51" s="1187"/>
      <c r="AA51" s="1190"/>
      <c r="AB51" s="1274"/>
      <c r="AC51" s="1668" t="s">
        <v>78</v>
      </c>
      <c r="AD51" s="1669"/>
      <c r="AE51" s="881"/>
      <c r="AF51" s="892" t="s">
        <v>78</v>
      </c>
      <c r="AH51" s="1727"/>
      <c r="AI51" s="1727"/>
      <c r="CM51" s="425"/>
    </row>
    <row r="52" spans="3:91" ht="16" customHeight="1" x14ac:dyDescent="0.3">
      <c r="C52" s="1186" t="s">
        <v>269</v>
      </c>
      <c r="D52" s="1187" t="s">
        <v>262</v>
      </c>
      <c r="E52" s="1187" t="str">
        <f>IFERROR(_xlfn.XLOOKUP(D52,TADIndia,'Rates &amp; Drop Downs INT'!$CH$6:$CH$747),"")</f>
        <v>Adobe</v>
      </c>
      <c r="F52" s="1187" t="s">
        <v>1211</v>
      </c>
      <c r="G52" s="1187" t="str">
        <f>IFERROR(_xlfn.XLOOKUP(F52,'Rates &amp; Drop Downs INT'!$CI$6:$CI$747,'Rates &amp; Drop Downs INT'!$CJ$6:$CJ$747),"")</f>
        <v>Adobe_Experience_Management</v>
      </c>
      <c r="H52" s="1187" t="str">
        <f>_xlfn.XLOOKUP(F52,'Rates &amp; Drop Downs INT'!$DF$6:$DF$173,'Rates &amp; Drop Downs INT'!$DG$6:$DG$173,"")</f>
        <v>EXPERIENCEMANAGEMENTSP</v>
      </c>
      <c r="I52" s="1187"/>
      <c r="J52" s="1188" t="str">
        <f t="shared" si="1"/>
        <v>TADIndia</v>
      </c>
      <c r="K52" s="1689" t="s">
        <v>534</v>
      </c>
      <c r="L52" s="1690"/>
      <c r="M52" s="1691"/>
      <c r="N52" s="1190" cm="1">
        <f t="array" ref="N52">IF($E$20="Credera US",V52,SUMPRODUCT(('Rates &amp; Drop Downs INT'!$CG$6:$CG$747=$D52)*('Rates &amp; Drop Downs INT'!$CI$6:$CI$747=$F52)*('Rates &amp; Drop Downs INT'!$CK$6:$CK$747=$K52)*('Rates &amp; Drop Downs INT'!$CM$6:$CM$747)))</f>
        <v>2</v>
      </c>
      <c r="O52" s="1696"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7"/>
      <c r="Q52" s="1697"/>
      <c r="R52" s="1697"/>
      <c r="S52" s="1698"/>
      <c r="T52" s="1699"/>
      <c r="U52" s="1700"/>
      <c r="V52" s="1222">
        <f>IFERROR(IF(ISBLANK(K52)," ",_xlfn.XLOOKUP(K52,'Rates &amp; Drop Downs INT'!C:C,'Rates &amp; Drop Downs INT'!J:J)),N52)</f>
        <v>0</v>
      </c>
      <c r="W52" s="1203" t="str">
        <f t="shared" si="0"/>
        <v>Offshore</v>
      </c>
      <c r="X52" s="1203"/>
      <c r="Y52" s="880">
        <v>40</v>
      </c>
      <c r="Z52" s="1187"/>
      <c r="AA52" s="1190"/>
      <c r="AB52" s="1274"/>
      <c r="AC52" s="1668" t="s">
        <v>78</v>
      </c>
      <c r="AD52" s="1669"/>
      <c r="AE52" s="881"/>
      <c r="AF52" s="892"/>
      <c r="AH52" s="1727"/>
      <c r="AI52" s="1727"/>
      <c r="CM52" s="425"/>
    </row>
    <row r="53" spans="3:91" ht="16" customHeight="1" x14ac:dyDescent="0.3">
      <c r="C53" s="1186" t="s">
        <v>269</v>
      </c>
      <c r="D53" s="1187" t="s">
        <v>297</v>
      </c>
      <c r="E53" s="1187" t="str">
        <f>IFERROR(_xlfn.XLOOKUP(D53,TADIndia,'Rates &amp; Drop Downs INT'!$CH$6:$CH$747),"")</f>
        <v>DOTNET</v>
      </c>
      <c r="F53" s="1187" t="s">
        <v>2424</v>
      </c>
      <c r="G53" s="1187" t="str">
        <f>IFERROR(_xlfn.XLOOKUP(F53,'Rates &amp; Drop Downs INT'!$CI$6:$CI$747,'Rates &amp; Drop Downs INT'!$CJ$6:$CJ$747),"")</f>
        <v>DOTNET_QA</v>
      </c>
      <c r="H53" s="1187" t="str">
        <f>_xlfn.XLOOKUP(F53,'Rates &amp; Drop Downs INT'!$DF$6:$DF$173,'Rates &amp; Drop Downs INT'!$DG$6:$DG$173,"")</f>
        <v>DOTNETQASP</v>
      </c>
      <c r="I53" s="1187"/>
      <c r="J53" s="1188" t="str">
        <f t="shared" si="1"/>
        <v>TADIndia</v>
      </c>
      <c r="K53" s="1689" t="s">
        <v>567</v>
      </c>
      <c r="L53" s="1690"/>
      <c r="M53" s="1691"/>
      <c r="N53" s="1190" cm="1">
        <f t="array" ref="N53">IF($E$20="Credera US",V53,SUMPRODUCT(('Rates &amp; Drop Downs INT'!$CG$6:$CG$747=$D53)*('Rates &amp; Drop Downs INT'!$CI$6:$CI$747=$F53)*('Rates &amp; Drop Downs INT'!$CK$6:$CK$747=$K53)*('Rates &amp; Drop Downs INT'!$CM$6:$CM$747)))</f>
        <v>2</v>
      </c>
      <c r="O53" s="1696"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7"/>
      <c r="Q53" s="1697"/>
      <c r="R53" s="1697"/>
      <c r="S53" s="1698"/>
      <c r="T53" s="1699"/>
      <c r="U53" s="1700"/>
      <c r="V53" s="1222">
        <f>IFERROR(IF(ISBLANK(K53)," ",_xlfn.XLOOKUP(K53,'Rates &amp; Drop Downs INT'!C:C,'Rates &amp; Drop Downs INT'!J:J)),N53)</f>
        <v>0</v>
      </c>
      <c r="W53" s="1203" t="str">
        <f t="shared" si="0"/>
        <v>Offshore</v>
      </c>
      <c r="X53" s="1203"/>
      <c r="Y53" s="880">
        <v>32</v>
      </c>
      <c r="Z53" s="1187"/>
      <c r="AA53" s="1190"/>
      <c r="AB53" s="1274"/>
      <c r="AC53" s="1668"/>
      <c r="AD53" s="1669"/>
      <c r="AE53" s="881"/>
      <c r="AF53" s="892"/>
      <c r="AH53" s="1727"/>
      <c r="AI53" s="1727"/>
      <c r="CM53" s="425"/>
    </row>
    <row r="54" spans="3:91" ht="16" customHeight="1" x14ac:dyDescent="0.3">
      <c r="C54" s="1186" t="s">
        <v>269</v>
      </c>
      <c r="D54" s="1187" t="s">
        <v>297</v>
      </c>
      <c r="E54" s="1187" t="str">
        <f>IFERROR(_xlfn.XLOOKUP(D54,TADIndia,'Rates &amp; Drop Downs INT'!$CH$6:$CH$747),"")</f>
        <v>DOTNET</v>
      </c>
      <c r="F54" s="1187" t="s">
        <v>2439</v>
      </c>
      <c r="G54" s="1187" t="str">
        <f>IFERROR(_xlfn.XLOOKUP(F54,'Rates &amp; Drop Downs INT'!$CI$6:$CI$747,'Rates &amp; Drop Downs INT'!$CJ$6:$CJ$747),"")</f>
        <v>DOTNET_BA</v>
      </c>
      <c r="H54" s="1187" t="str">
        <f>_xlfn.XLOOKUP(F54,'Rates &amp; Drop Downs INT'!$DF$6:$DF$173,'Rates &amp; Drop Downs INT'!$DG$6:$DG$173,"")</f>
        <v>DOTNETBASP</v>
      </c>
      <c r="I54" s="1187"/>
      <c r="J54" s="1188"/>
      <c r="K54" s="1689" t="s">
        <v>563</v>
      </c>
      <c r="L54" s="1690"/>
      <c r="M54" s="1691"/>
      <c r="N54" s="1190" cm="1">
        <f t="array" ref="N54">IF($E$20="Credera US",V54,SUMPRODUCT(('Rates &amp; Drop Downs INT'!$CG$6:$CG$747=$D54)*('Rates &amp; Drop Downs INT'!$CI$6:$CI$747=$F54)*('Rates &amp; Drop Downs INT'!$CK$6:$CK$747=$K54)*('Rates &amp; Drop Downs INT'!$CM$6:$CM$747)))</f>
        <v>2</v>
      </c>
      <c r="O54" s="1696"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7"/>
      <c r="Q54" s="1697"/>
      <c r="R54" s="1697"/>
      <c r="S54" s="1698"/>
      <c r="T54" s="1699"/>
      <c r="U54" s="1700"/>
      <c r="V54" s="1222">
        <f>IFERROR(IF(ISBLANK(K54)," ",_xlfn.XLOOKUP(K54,'Rates &amp; Drop Downs INT'!C:C,'Rates &amp; Drop Downs INT'!J:J)),N54)</f>
        <v>0</v>
      </c>
      <c r="W54" s="1203" t="str">
        <f t="shared" si="0"/>
        <v>Offshore</v>
      </c>
      <c r="X54" s="1203"/>
      <c r="Y54" s="880">
        <v>40</v>
      </c>
      <c r="Z54" s="1187"/>
      <c r="AA54" s="1190"/>
      <c r="AB54" s="1274"/>
      <c r="AC54" s="1668"/>
      <c r="AD54" s="1669"/>
      <c r="AE54" s="881"/>
      <c r="AF54" s="892"/>
      <c r="AH54" s="1727"/>
      <c r="AI54" s="1727"/>
      <c r="CM54" s="425"/>
    </row>
    <row r="55" spans="3:91" ht="16" customHeight="1" x14ac:dyDescent="0.3">
      <c r="C55" s="1186" t="s">
        <v>269</v>
      </c>
      <c r="D55" s="1187" t="s">
        <v>336</v>
      </c>
      <c r="E55" s="1187" t="str">
        <f>IFERROR(_xlfn.XLOOKUP(D55,TADIndia,'Rates &amp; Drop Downs INT'!$CH$6:$CH$747),"")</f>
        <v>Delivery</v>
      </c>
      <c r="F55" s="1187" t="s">
        <v>336</v>
      </c>
      <c r="G55" s="1187" t="str">
        <f>IFERROR(_xlfn.XLOOKUP(F55,'Rates &amp; Drop Downs INT'!$CI$6:$CI$747,'Rates &amp; Drop Downs INT'!$CJ$6:$CJ$747),"")</f>
        <v>Delivery_Delivery</v>
      </c>
      <c r="H55" s="1187" t="str">
        <f>_xlfn.XLOOKUP(F55,'Rates &amp; Drop Downs INT'!$DF$6:$DF$173,'Rates &amp; Drop Downs INT'!$DG$6:$DG$173,"")</f>
        <v>DELIVERYDELIVERYSP</v>
      </c>
      <c r="I55" s="1187"/>
      <c r="J55" s="1188" t="str">
        <f t="shared" si="1"/>
        <v>TADIndia</v>
      </c>
      <c r="K55" s="1689" t="s">
        <v>444</v>
      </c>
      <c r="L55" s="1690"/>
      <c r="M55" s="1691"/>
      <c r="N55" s="1190" cm="1">
        <f t="array" ref="N55">IF($E$20="Credera US",V55,SUMPRODUCT(('Rates &amp; Drop Downs INT'!$CG$6:$CG$747=$D55)*('Rates &amp; Drop Downs INT'!$CI$6:$CI$747=$F55)*('Rates &amp; Drop Downs INT'!$CK$6:$CK$747=$K55)*('Rates &amp; Drop Downs INT'!$CM$6:$CM$747)))</f>
        <v>5</v>
      </c>
      <c r="O55" s="1696"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7"/>
      <c r="Q55" s="1697"/>
      <c r="R55" s="1697"/>
      <c r="S55" s="1698"/>
      <c r="T55" s="1699"/>
      <c r="U55" s="1700"/>
      <c r="V55" s="1222">
        <f>IFERROR(IF(ISBLANK(K55)," ",_xlfn.XLOOKUP(K55,'Rates &amp; Drop Downs INT'!C:C,'Rates &amp; Drop Downs INT'!J:J)),N55)</f>
        <v>0</v>
      </c>
      <c r="W55" s="1203" t="str">
        <f t="shared" si="0"/>
        <v>Offshore</v>
      </c>
      <c r="X55" s="1203"/>
      <c r="Y55" s="880">
        <v>20</v>
      </c>
      <c r="Z55" s="1187"/>
      <c r="AA55" s="1190"/>
      <c r="AB55" s="1274"/>
      <c r="AC55" s="1668"/>
      <c r="AD55" s="1669"/>
      <c r="AE55" s="881"/>
      <c r="AF55" s="892"/>
      <c r="AH55" s="1727"/>
      <c r="AI55" s="1727"/>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89"/>
      <c r="L56" s="1690"/>
      <c r="M56" s="1691"/>
      <c r="N56" s="1190" cm="1">
        <f t="array" ref="N56">IF($E$20="Credera US",V56,SUMPRODUCT(('Rates &amp; Drop Downs INT'!$CG$6:$CG$747=$D56)*('Rates &amp; Drop Downs INT'!$CI$6:$CI$747=$F56)*('Rates &amp; Drop Downs INT'!$CK$6:$CK$747=$K56)*('Rates &amp; Drop Downs INT'!$CM$6:$CM$747)))</f>
        <v>0</v>
      </c>
      <c r="O56" s="1696"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7"/>
      <c r="Q56" s="1697"/>
      <c r="R56" s="1697"/>
      <c r="S56" s="1698"/>
      <c r="T56" s="1699"/>
      <c r="U56" s="1700"/>
      <c r="V56" s="1222" t="str">
        <f>IFERROR(IF(ISBLANK(K56)," ",_xlfn.XLOOKUP(K56,'Rates &amp; Drop Downs INT'!C:C,'Rates &amp; Drop Downs INT'!J:J)),N56)</f>
        <v xml:space="preserve"> </v>
      </c>
      <c r="W56" s="1203" t="str">
        <f t="shared" si="0"/>
        <v xml:space="preserve"> </v>
      </c>
      <c r="X56" s="1203"/>
      <c r="Y56" s="880" t="s">
        <v>2271</v>
      </c>
      <c r="Z56" s="1187"/>
      <c r="AA56" s="1190"/>
      <c r="AB56" s="1274"/>
      <c r="AC56" s="1668"/>
      <c r="AD56" s="1669"/>
      <c r="AE56" s="881"/>
      <c r="AF56" s="892"/>
      <c r="AH56" s="1727"/>
      <c r="AI56" s="1727"/>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89"/>
      <c r="L57" s="1690"/>
      <c r="M57" s="1691"/>
      <c r="N57" s="1190" cm="1">
        <f t="array" ref="N57">IF($E$20="Credera US",V57,SUMPRODUCT(('Rates &amp; Drop Downs INT'!$CG$6:$CG$747=$D57)*('Rates &amp; Drop Downs INT'!$CI$6:$CI$747=$F57)*('Rates &amp; Drop Downs INT'!$CK$6:$CK$747=$K57)*('Rates &amp; Drop Downs INT'!$CM$6:$CM$747)))</f>
        <v>0</v>
      </c>
      <c r="O57" s="1696"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7"/>
      <c r="Q57" s="1697"/>
      <c r="R57" s="1697"/>
      <c r="S57" s="1698"/>
      <c r="T57" s="1699"/>
      <c r="U57" s="1700"/>
      <c r="V57" s="1222" t="str">
        <f>IFERROR(IF(ISBLANK(K57)," ",_xlfn.XLOOKUP(K57,'Rates &amp; Drop Downs INT'!C:C,'Rates &amp; Drop Downs INT'!J:J)),N57)</f>
        <v xml:space="preserve"> </v>
      </c>
      <c r="W57" s="1203" t="str">
        <f t="shared" si="0"/>
        <v xml:space="preserve"> </v>
      </c>
      <c r="X57" s="1203"/>
      <c r="Y57" s="880" t="s">
        <v>2271</v>
      </c>
      <c r="Z57" s="1187"/>
      <c r="AA57" s="1190"/>
      <c r="AB57" s="1274"/>
      <c r="AC57" s="1668"/>
      <c r="AD57" s="1669"/>
      <c r="AE57" s="881"/>
      <c r="AF57" s="892"/>
      <c r="AH57" s="1727"/>
      <c r="AI57" s="1727"/>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89"/>
      <c r="L58" s="1690"/>
      <c r="M58" s="1691"/>
      <c r="N58" s="1190" cm="1">
        <f t="array" ref="N58">IF($E$20="Credera US",V58,SUMPRODUCT(('Rates &amp; Drop Downs INT'!$CG$6:$CG$747=$D58)*('Rates &amp; Drop Downs INT'!$CI$6:$CI$747=$F58)*('Rates &amp; Drop Downs INT'!$CK$6:$CK$747=$K58)*('Rates &amp; Drop Downs INT'!$CM$6:$CM$747)))</f>
        <v>0</v>
      </c>
      <c r="O58" s="1696"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7"/>
      <c r="Q58" s="1697"/>
      <c r="R58" s="1697"/>
      <c r="S58" s="1698"/>
      <c r="T58" s="1699"/>
      <c r="U58" s="1700"/>
      <c r="V58" s="1222" t="str">
        <f>IFERROR(IF(ISBLANK(K58)," ",_xlfn.XLOOKUP(K58,'Rates &amp; Drop Downs INT'!C:C,'Rates &amp; Drop Downs INT'!J:J)),N58)</f>
        <v xml:space="preserve"> </v>
      </c>
      <c r="W58" s="1203" t="str">
        <f t="shared" si="0"/>
        <v xml:space="preserve"> </v>
      </c>
      <c r="X58" s="1203"/>
      <c r="Y58" s="880" t="s">
        <v>2271</v>
      </c>
      <c r="Z58" s="1187"/>
      <c r="AA58" s="1190"/>
      <c r="AB58" s="1274"/>
      <c r="AC58" s="1668"/>
      <c r="AD58" s="1669"/>
      <c r="AE58" s="881"/>
      <c r="AF58" s="892"/>
      <c r="AH58" s="1727"/>
      <c r="AI58" s="1727"/>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89"/>
      <c r="L59" s="1690"/>
      <c r="M59" s="1691"/>
      <c r="N59" s="1190" cm="1">
        <f t="array" ref="N59">IF($E$20="Credera US",V59,SUMPRODUCT(('Rates &amp; Drop Downs INT'!$CG$6:$CG$747=$D59)*('Rates &amp; Drop Downs INT'!$CI$6:$CI$747=$F59)*('Rates &amp; Drop Downs INT'!$CK$6:$CK$747=$K59)*('Rates &amp; Drop Downs INT'!$CM$6:$CM$747)))</f>
        <v>0</v>
      </c>
      <c r="O59" s="1696"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7"/>
      <c r="Q59" s="1697"/>
      <c r="R59" s="1697"/>
      <c r="S59" s="1698"/>
      <c r="T59" s="1699"/>
      <c r="U59" s="1700"/>
      <c r="V59" s="1222" t="str">
        <f>IFERROR(IF(ISBLANK(K59)," ",_xlfn.XLOOKUP(K59,'Rates &amp; Drop Downs INT'!C:C,'Rates &amp; Drop Downs INT'!J:J)),N59)</f>
        <v xml:space="preserve"> </v>
      </c>
      <c r="W59" s="1203" t="str">
        <f t="shared" si="0"/>
        <v xml:space="preserve"> </v>
      </c>
      <c r="X59" s="1203"/>
      <c r="Y59" s="880" t="s">
        <v>2271</v>
      </c>
      <c r="Z59" s="1187"/>
      <c r="AA59" s="1190"/>
      <c r="AB59" s="1274"/>
      <c r="AC59" s="1668"/>
      <c r="AD59" s="1669"/>
      <c r="AE59" s="881"/>
      <c r="AF59" s="892"/>
      <c r="AH59" s="1727"/>
      <c r="AI59" s="1727"/>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89"/>
      <c r="L60" s="1690"/>
      <c r="M60" s="1691"/>
      <c r="N60" s="1190" cm="1">
        <f t="array" ref="N60">IF($E$20="Credera US",V60,SUMPRODUCT(('Rates &amp; Drop Downs INT'!$CG$6:$CG$747=$D60)*('Rates &amp; Drop Downs INT'!$CI$6:$CI$747=$F60)*('Rates &amp; Drop Downs INT'!$CK$6:$CK$747=$K60)*('Rates &amp; Drop Downs INT'!$CM$6:$CM$747)))</f>
        <v>0</v>
      </c>
      <c r="O60" s="1696"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7"/>
      <c r="Q60" s="1697"/>
      <c r="R60" s="1697"/>
      <c r="S60" s="1698"/>
      <c r="T60" s="1699"/>
      <c r="U60" s="1700"/>
      <c r="V60" s="1222" t="str">
        <f>IFERROR(IF(ISBLANK(K60)," ",_xlfn.XLOOKUP(K60,'Rates &amp; Drop Downs INT'!C:C,'Rates &amp; Drop Downs INT'!J:J)),N60)</f>
        <v xml:space="preserve"> </v>
      </c>
      <c r="W60" s="1203" t="str">
        <f t="shared" si="0"/>
        <v xml:space="preserve"> </v>
      </c>
      <c r="X60" s="1203"/>
      <c r="Y60" s="880" t="s">
        <v>2271</v>
      </c>
      <c r="Z60" s="1187"/>
      <c r="AA60" s="1190"/>
      <c r="AB60" s="1274"/>
      <c r="AC60" s="1668"/>
      <c r="AD60" s="1669"/>
      <c r="AE60" s="881"/>
      <c r="AF60" s="892"/>
      <c r="AH60" s="1727"/>
      <c r="AI60" s="1727"/>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89"/>
      <c r="L61" s="1690"/>
      <c r="M61" s="1691"/>
      <c r="N61" s="1190" cm="1">
        <f t="array" ref="N61">IF($E$20="Credera US",V61,SUMPRODUCT(('Rates &amp; Drop Downs INT'!$CG$6:$CG$747=$D61)*('Rates &amp; Drop Downs INT'!$CI$6:$CI$747=$F61)*('Rates &amp; Drop Downs INT'!$CK$6:$CK$747=$K61)*('Rates &amp; Drop Downs INT'!$CM$6:$CM$747)))</f>
        <v>0</v>
      </c>
      <c r="O61" s="1696"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7"/>
      <c r="Q61" s="1697"/>
      <c r="R61" s="1697"/>
      <c r="S61" s="1698"/>
      <c r="T61" s="1699"/>
      <c r="U61" s="1700"/>
      <c r="V61" s="1222" t="str">
        <f>IFERROR(IF(ISBLANK(K61)," ",_xlfn.XLOOKUP(K61,'Rates &amp; Drop Downs INT'!C:C,'Rates &amp; Drop Downs INT'!J:J)),N61)</f>
        <v xml:space="preserve"> </v>
      </c>
      <c r="W61" s="1203" t="str">
        <f t="shared" si="0"/>
        <v xml:space="preserve"> </v>
      </c>
      <c r="X61" s="1203"/>
      <c r="Y61" s="880" t="s">
        <v>2271</v>
      </c>
      <c r="Z61" s="1187"/>
      <c r="AA61" s="1190"/>
      <c r="AB61" s="1274"/>
      <c r="AC61" s="1668"/>
      <c r="AD61" s="1669"/>
      <c r="AE61" s="881"/>
      <c r="AF61" s="892"/>
      <c r="AH61" s="1727"/>
      <c r="AI61" s="1727"/>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89"/>
      <c r="L62" s="1690"/>
      <c r="M62" s="1691"/>
      <c r="N62" s="1190" cm="1">
        <f t="array" ref="N62">IF($E$20="Credera US",V62,SUMPRODUCT(('Rates &amp; Drop Downs INT'!$CG$6:$CG$747=$D62)*('Rates &amp; Drop Downs INT'!$CI$6:$CI$747=$F62)*('Rates &amp; Drop Downs INT'!$CK$6:$CK$747=$K62)*('Rates &amp; Drop Downs INT'!$CM$6:$CM$747)))</f>
        <v>0</v>
      </c>
      <c r="O62" s="1696"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7"/>
      <c r="Q62" s="1697"/>
      <c r="R62" s="1697"/>
      <c r="S62" s="1698"/>
      <c r="T62" s="1699"/>
      <c r="U62" s="1700"/>
      <c r="V62" s="1222" t="str">
        <f>IFERROR(IF(ISBLANK(K62)," ",_xlfn.XLOOKUP(K62,'Rates &amp; Drop Downs INT'!C:C,'Rates &amp; Drop Downs INT'!J:J)),N62)</f>
        <v xml:space="preserve"> </v>
      </c>
      <c r="W62" s="1203" t="str">
        <f t="shared" si="0"/>
        <v xml:space="preserve"> </v>
      </c>
      <c r="X62" s="1203"/>
      <c r="Y62" s="880" t="s">
        <v>2271</v>
      </c>
      <c r="Z62" s="1187"/>
      <c r="AA62" s="1190"/>
      <c r="AB62" s="1274"/>
      <c r="AC62" s="1668"/>
      <c r="AD62" s="1669"/>
      <c r="AE62" s="881"/>
      <c r="AF62" s="892"/>
      <c r="AH62" s="1727"/>
      <c r="AI62" s="1727"/>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89"/>
      <c r="L63" s="1690"/>
      <c r="M63" s="1691"/>
      <c r="N63" s="1190" cm="1">
        <f t="array" ref="N63">IF($E$20="Credera US",V63,SUMPRODUCT(('Rates &amp; Drop Downs INT'!$CG$6:$CG$747=$D63)*('Rates &amp; Drop Downs INT'!$CI$6:$CI$747=$F63)*('Rates &amp; Drop Downs INT'!$CK$6:$CK$747=$K63)*('Rates &amp; Drop Downs INT'!$CM$6:$CM$747)))</f>
        <v>0</v>
      </c>
      <c r="O63" s="1696"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7"/>
      <c r="Q63" s="1697"/>
      <c r="R63" s="1697"/>
      <c r="S63" s="1698"/>
      <c r="T63" s="1699"/>
      <c r="U63" s="1700"/>
      <c r="V63" s="1222" t="str">
        <f>IFERROR(IF(ISBLANK(K63)," ",_xlfn.XLOOKUP(K63,'Rates &amp; Drop Downs INT'!C:C,'Rates &amp; Drop Downs INT'!J:J)),N63)</f>
        <v xml:space="preserve"> </v>
      </c>
      <c r="W63" s="1203" t="str">
        <f t="shared" si="0"/>
        <v xml:space="preserve"> </v>
      </c>
      <c r="X63" s="1203"/>
      <c r="Y63" s="880" t="s">
        <v>2271</v>
      </c>
      <c r="Z63" s="1187"/>
      <c r="AA63" s="1190"/>
      <c r="AB63" s="1274"/>
      <c r="AC63" s="1668"/>
      <c r="AD63" s="1669"/>
      <c r="AE63" s="881"/>
      <c r="AF63" s="892"/>
      <c r="AH63" s="1727"/>
      <c r="AI63" s="1727"/>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89"/>
      <c r="L64" s="1690"/>
      <c r="M64" s="1691"/>
      <c r="N64" s="1190" cm="1">
        <f t="array" ref="N64">IF($E$20="Credera US",V64,SUMPRODUCT(('Rates &amp; Drop Downs INT'!$CG$6:$CG$747=$D64)*('Rates &amp; Drop Downs INT'!$CI$6:$CI$747=$F64)*('Rates &amp; Drop Downs INT'!$CK$6:$CK$747=$K64)*('Rates &amp; Drop Downs INT'!$CM$6:$CM$747)))</f>
        <v>0</v>
      </c>
      <c r="O64" s="1696"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7"/>
      <c r="Q64" s="1697"/>
      <c r="R64" s="1697"/>
      <c r="S64" s="1698"/>
      <c r="T64" s="1699"/>
      <c r="U64" s="1700"/>
      <c r="V64" s="1222" t="str">
        <f>IFERROR(IF(ISBLANK(K64)," ",_xlfn.XLOOKUP(K64,'Rates &amp; Drop Downs INT'!C:C,'Rates &amp; Drop Downs INT'!J:J)),N64)</f>
        <v xml:space="preserve"> </v>
      </c>
      <c r="W64" s="1203" t="str">
        <f t="shared" si="0"/>
        <v xml:space="preserve"> </v>
      </c>
      <c r="X64" s="1203"/>
      <c r="Y64" s="880" t="s">
        <v>2271</v>
      </c>
      <c r="Z64" s="1187"/>
      <c r="AA64" s="1190"/>
      <c r="AB64" s="1274"/>
      <c r="AC64" s="1668"/>
      <c r="AD64" s="1669"/>
      <c r="AE64" s="881"/>
      <c r="AF64" s="892"/>
      <c r="AH64" s="1727"/>
      <c r="AI64" s="1727"/>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89"/>
      <c r="L65" s="1690"/>
      <c r="M65" s="1691"/>
      <c r="N65" s="1190" cm="1">
        <f t="array" ref="N65">IF($E$20="Credera US",V65,SUMPRODUCT(('Rates &amp; Drop Downs INT'!$CG$6:$CG$747=$D65)*('Rates &amp; Drop Downs INT'!$CI$6:$CI$747=$F65)*('Rates &amp; Drop Downs INT'!$CK$6:$CK$747=$K65)*('Rates &amp; Drop Downs INT'!$CM$6:$CM$747)))</f>
        <v>0</v>
      </c>
      <c r="O65" s="1696"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7"/>
      <c r="Q65" s="1697"/>
      <c r="R65" s="1697"/>
      <c r="S65" s="1698"/>
      <c r="T65" s="1699"/>
      <c r="U65" s="1700"/>
      <c r="V65" s="1222" t="str">
        <f>IFERROR(IF(ISBLANK(K65)," ",_xlfn.XLOOKUP(K65,'Rates &amp; Drop Downs INT'!C:C,'Rates &amp; Drop Downs INT'!J:J)),N65)</f>
        <v xml:space="preserve"> </v>
      </c>
      <c r="W65" s="1203" t="str">
        <f t="shared" si="0"/>
        <v xml:space="preserve"> </v>
      </c>
      <c r="X65" s="1203"/>
      <c r="Y65" s="880" t="s">
        <v>2271</v>
      </c>
      <c r="Z65" s="1187"/>
      <c r="AA65" s="1190"/>
      <c r="AB65" s="1274"/>
      <c r="AC65" s="1668"/>
      <c r="AD65" s="1669"/>
      <c r="AE65" s="881"/>
      <c r="AF65" s="892"/>
      <c r="AH65" s="1727"/>
      <c r="AI65" s="1727"/>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89"/>
      <c r="L66" s="1690"/>
      <c r="M66" s="1691"/>
      <c r="N66" s="1190" cm="1">
        <f t="array" ref="N66">IF($E$20="Credera US",V66,SUMPRODUCT(('Rates &amp; Drop Downs INT'!$CG$6:$CG$747=$D66)*('Rates &amp; Drop Downs INT'!$CI$6:$CI$747=$F66)*('Rates &amp; Drop Downs INT'!$CK$6:$CK$747=$K66)*('Rates &amp; Drop Downs INT'!$CM$6:$CM$747)))</f>
        <v>0</v>
      </c>
      <c r="O66" s="1696"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7"/>
      <c r="Q66" s="1697"/>
      <c r="R66" s="1697"/>
      <c r="S66" s="1698"/>
      <c r="T66" s="1699"/>
      <c r="U66" s="1700"/>
      <c r="V66" s="1222" t="str">
        <f>IFERROR(IF(ISBLANK(K66)," ",_xlfn.XLOOKUP(K66,'Rates &amp; Drop Downs INT'!C:C,'Rates &amp; Drop Downs INT'!J:J)),N66)</f>
        <v xml:space="preserve"> </v>
      </c>
      <c r="W66" s="1203" t="str">
        <f t="shared" si="0"/>
        <v xml:space="preserve"> </v>
      </c>
      <c r="X66" s="1203"/>
      <c r="Y66" s="880" t="s">
        <v>2271</v>
      </c>
      <c r="Z66" s="1187"/>
      <c r="AA66" s="1190"/>
      <c r="AB66" s="1274"/>
      <c r="AC66" s="1668"/>
      <c r="AD66" s="1669"/>
      <c r="AE66" s="881"/>
      <c r="AF66" s="892"/>
      <c r="AH66" s="1727"/>
      <c r="AI66" s="1727"/>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89"/>
      <c r="L67" s="1690"/>
      <c r="M67" s="1691"/>
      <c r="N67" s="1190" cm="1">
        <f t="array" ref="N67">IF($E$20="Credera US",V67,SUMPRODUCT(('Rates &amp; Drop Downs INT'!$CG$6:$CG$747=$D67)*('Rates &amp; Drop Downs INT'!$CI$6:$CI$747=$F67)*('Rates &amp; Drop Downs INT'!$CK$6:$CK$747=$K67)*('Rates &amp; Drop Downs INT'!$CM$6:$CM$747)))</f>
        <v>0</v>
      </c>
      <c r="O67" s="1696"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7"/>
      <c r="Q67" s="1697"/>
      <c r="R67" s="1697"/>
      <c r="S67" s="1698"/>
      <c r="T67" s="1699"/>
      <c r="U67" s="1700"/>
      <c r="V67" s="1222" t="str">
        <f>IFERROR(IF(ISBLANK(K67)," ",_xlfn.XLOOKUP(K67,'Rates &amp; Drop Downs INT'!C:C,'Rates &amp; Drop Downs INT'!J:J)),N67)</f>
        <v xml:space="preserve"> </v>
      </c>
      <c r="W67" s="1203" t="str">
        <f t="shared" si="0"/>
        <v xml:space="preserve"> </v>
      </c>
      <c r="X67" s="1203"/>
      <c r="Y67" s="880" t="s">
        <v>2271</v>
      </c>
      <c r="Z67" s="1187"/>
      <c r="AA67" s="1190"/>
      <c r="AB67" s="1274"/>
      <c r="AC67" s="1668"/>
      <c r="AD67" s="1669"/>
      <c r="AE67" s="881"/>
      <c r="AF67" s="892"/>
      <c r="AH67" s="1727"/>
      <c r="AI67" s="1727"/>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89"/>
      <c r="L68" s="1690"/>
      <c r="M68" s="1691"/>
      <c r="N68" s="1190" cm="1">
        <f t="array" ref="N68">IF($E$20="Credera US",V68,SUMPRODUCT(('Rates &amp; Drop Downs INT'!$CG$6:$CG$747=$D68)*('Rates &amp; Drop Downs INT'!$CI$6:$CI$747=$F68)*('Rates &amp; Drop Downs INT'!$CK$6:$CK$747=$K68)*('Rates &amp; Drop Downs INT'!$CM$6:$CM$747)))</f>
        <v>0</v>
      </c>
      <c r="O68" s="1696"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7"/>
      <c r="Q68" s="1697"/>
      <c r="R68" s="1697"/>
      <c r="S68" s="1698"/>
      <c r="T68" s="1699"/>
      <c r="U68" s="1700"/>
      <c r="V68" s="1222" t="str">
        <f>IFERROR(IF(ISBLANK(K68)," ",_xlfn.XLOOKUP(K68,'Rates &amp; Drop Downs INT'!C:C,'Rates &amp; Drop Downs INT'!J:J)),N68)</f>
        <v xml:space="preserve"> </v>
      </c>
      <c r="W68" s="1203" t="str">
        <f t="shared" si="0"/>
        <v xml:space="preserve"> </v>
      </c>
      <c r="X68" s="1203"/>
      <c r="Y68" s="880" t="s">
        <v>2271</v>
      </c>
      <c r="Z68" s="1187"/>
      <c r="AA68" s="1190"/>
      <c r="AB68" s="1274"/>
      <c r="AC68" s="1668"/>
      <c r="AD68" s="1669"/>
      <c r="AE68" s="881"/>
      <c r="AF68" s="892"/>
      <c r="AH68" s="1727"/>
      <c r="AI68" s="1727"/>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89"/>
      <c r="L69" s="1690"/>
      <c r="M69" s="1691"/>
      <c r="N69" s="1190" cm="1">
        <f t="array" ref="N69">IF($E$20="Credera US",V69,SUMPRODUCT(('Rates &amp; Drop Downs INT'!$CG$6:$CG$747=$D69)*('Rates &amp; Drop Downs INT'!$CI$6:$CI$747=$F69)*('Rates &amp; Drop Downs INT'!$CK$6:$CK$747=$K69)*('Rates &amp; Drop Downs INT'!$CM$6:$CM$747)))</f>
        <v>0</v>
      </c>
      <c r="O69" s="1696"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7"/>
      <c r="Q69" s="1697"/>
      <c r="R69" s="1697"/>
      <c r="S69" s="1698"/>
      <c r="T69" s="1699"/>
      <c r="U69" s="1700"/>
      <c r="V69" s="1222" t="str">
        <f>IFERROR(IF(ISBLANK(K69)," ",_xlfn.XLOOKUP(K69,'Rates &amp; Drop Downs INT'!C:C,'Rates &amp; Drop Downs INT'!J:J)),N69)</f>
        <v xml:space="preserve"> </v>
      </c>
      <c r="W69" s="1203" t="str">
        <f t="shared" si="0"/>
        <v xml:space="preserve"> </v>
      </c>
      <c r="X69" s="1203"/>
      <c r="Y69" s="880" t="s">
        <v>2271</v>
      </c>
      <c r="Z69" s="1187"/>
      <c r="AA69" s="1190"/>
      <c r="AB69" s="1274"/>
      <c r="AC69" s="1668"/>
      <c r="AD69" s="1669"/>
      <c r="AE69" s="881"/>
      <c r="AF69" s="892"/>
      <c r="AH69" s="1727"/>
      <c r="AI69" s="1727"/>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89"/>
      <c r="L70" s="1690"/>
      <c r="M70" s="1691"/>
      <c r="N70" s="1190" cm="1">
        <f t="array" ref="N70">IF($E$20="Credera US",V70,SUMPRODUCT(('Rates &amp; Drop Downs INT'!$CG$6:$CG$747=$D70)*('Rates &amp; Drop Downs INT'!$CI$6:$CI$747=$F70)*('Rates &amp; Drop Downs INT'!$CK$6:$CK$747=$K70)*('Rates &amp; Drop Downs INT'!$CM$6:$CM$747)))</f>
        <v>0</v>
      </c>
      <c r="O70" s="1696"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7"/>
      <c r="Q70" s="1697"/>
      <c r="R70" s="1697"/>
      <c r="S70" s="1698"/>
      <c r="T70" s="1699"/>
      <c r="U70" s="1700"/>
      <c r="V70" s="1222" t="str">
        <f>IFERROR(IF(ISBLANK(K70)," ",_xlfn.XLOOKUP(K70,'Rates &amp; Drop Downs INT'!C:C,'Rates &amp; Drop Downs INT'!J:J)),N70)</f>
        <v xml:space="preserve"> </v>
      </c>
      <c r="W70" s="1203" t="str">
        <f t="shared" si="0"/>
        <v xml:space="preserve"> </v>
      </c>
      <c r="X70" s="1203"/>
      <c r="Y70" s="880" t="s">
        <v>2271</v>
      </c>
      <c r="Z70" s="1187"/>
      <c r="AA70" s="1190"/>
      <c r="AB70" s="1274"/>
      <c r="AC70" s="1668"/>
      <c r="AD70" s="1669"/>
      <c r="AE70" s="881"/>
      <c r="AF70" s="892"/>
      <c r="AH70" s="1727"/>
      <c r="AI70" s="1727"/>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89"/>
      <c r="L71" s="1690"/>
      <c r="M71" s="1691"/>
      <c r="N71" s="1190" cm="1">
        <f t="array" ref="N71">IF($E$20="Credera US",V71,SUMPRODUCT(('Rates &amp; Drop Downs INT'!$CG$6:$CG$747=$D71)*('Rates &amp; Drop Downs INT'!$CI$6:$CI$747=$F71)*('Rates &amp; Drop Downs INT'!$CK$6:$CK$747=$K71)*('Rates &amp; Drop Downs INT'!$CM$6:$CM$747)))</f>
        <v>0</v>
      </c>
      <c r="O71" s="1696"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7"/>
      <c r="Q71" s="1697"/>
      <c r="R71" s="1697"/>
      <c r="S71" s="1698"/>
      <c r="T71" s="1699"/>
      <c r="U71" s="1700"/>
      <c r="V71" s="1222" t="str">
        <f>IFERROR(IF(ISBLANK(K71)," ",_xlfn.XLOOKUP(K71,'Rates &amp; Drop Downs INT'!C:C,'Rates &amp; Drop Downs INT'!J:J)),N71)</f>
        <v xml:space="preserve"> </v>
      </c>
      <c r="W71" s="1203" t="str">
        <f t="shared" si="0"/>
        <v xml:space="preserve"> </v>
      </c>
      <c r="X71" s="1203"/>
      <c r="Y71" s="880" t="s">
        <v>2271</v>
      </c>
      <c r="Z71" s="1187"/>
      <c r="AA71" s="1190"/>
      <c r="AB71" s="1274"/>
      <c r="AC71" s="1668"/>
      <c r="AD71" s="1669"/>
      <c r="AE71" s="881"/>
      <c r="AF71" s="892"/>
      <c r="AH71" s="1727"/>
      <c r="AI71" s="1727"/>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89"/>
      <c r="L72" s="1690"/>
      <c r="M72" s="1691"/>
      <c r="N72" s="1190" cm="1">
        <f t="array" ref="N72">IF($E$20="Credera US",V72,SUMPRODUCT(('Rates &amp; Drop Downs INT'!$CG$6:$CG$747=$D72)*('Rates &amp; Drop Downs INT'!$CI$6:$CI$747=$F72)*('Rates &amp; Drop Downs INT'!$CK$6:$CK$747=$K72)*('Rates &amp; Drop Downs INT'!$CM$6:$CM$747)))</f>
        <v>0</v>
      </c>
      <c r="O72" s="1696"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7"/>
      <c r="Q72" s="1697"/>
      <c r="R72" s="1697"/>
      <c r="S72" s="1698"/>
      <c r="T72" s="1699"/>
      <c r="U72" s="1700"/>
      <c r="V72" s="1222" t="str">
        <f>IFERROR(IF(ISBLANK(K72)," ",_xlfn.XLOOKUP(K72,'Rates &amp; Drop Downs INT'!C:C,'Rates &amp; Drop Downs INT'!J:J)),N72)</f>
        <v xml:space="preserve"> </v>
      </c>
      <c r="W72" s="1203" t="str">
        <f t="shared" si="0"/>
        <v xml:space="preserve"> </v>
      </c>
      <c r="X72" s="1203"/>
      <c r="Y72" s="880" t="s">
        <v>2271</v>
      </c>
      <c r="Z72" s="1187"/>
      <c r="AA72" s="1190"/>
      <c r="AB72" s="1274"/>
      <c r="AC72" s="1668"/>
      <c r="AD72" s="1669"/>
      <c r="AE72" s="881"/>
      <c r="AF72" s="892"/>
      <c r="AH72" s="1727"/>
      <c r="AI72" s="1727"/>
      <c r="AJ72" s="413"/>
      <c r="AK72" s="413"/>
      <c r="AL72" s="413"/>
      <c r="AM72" s="413"/>
      <c r="CM72" s="425"/>
    </row>
    <row r="73" spans="3:91" ht="16" hidden="1"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89"/>
      <c r="L73" s="1690"/>
      <c r="M73" s="1691"/>
      <c r="N73" s="1190" cm="1">
        <f t="array" ref="N73">IF($E$20="Credera US",V73,SUMPRODUCT(('Rates &amp; Drop Downs INT'!$CG$6:$CG$747=$D73)*('Rates &amp; Drop Downs INT'!$CI$6:$CI$747=$F73)*('Rates &amp; Drop Downs INT'!$CK$6:$CK$747=$K73)*('Rates &amp; Drop Downs INT'!$CM$6:$CM$747)))</f>
        <v>0</v>
      </c>
      <c r="O73" s="1696"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7"/>
      <c r="Q73" s="1697"/>
      <c r="R73" s="1697"/>
      <c r="S73" s="1698"/>
      <c r="T73" s="1699"/>
      <c r="U73" s="1700"/>
      <c r="V73" s="1222" t="str">
        <f>IFERROR(IF(ISBLANK(K73)," ",_xlfn.XLOOKUP(K73,'Rates &amp; Drop Downs INT'!C:C,'Rates &amp; Drop Downs INT'!J:J)),N73)</f>
        <v xml:space="preserve"> </v>
      </c>
      <c r="W73" s="1203" t="str">
        <f t="shared" si="0"/>
        <v xml:space="preserve"> </v>
      </c>
      <c r="X73" s="1203"/>
      <c r="Y73" s="880" t="s">
        <v>2271</v>
      </c>
      <c r="Z73" s="1187"/>
      <c r="AA73" s="1190"/>
      <c r="AB73" s="1274"/>
      <c r="AC73" s="1668"/>
      <c r="AD73" s="1669"/>
      <c r="AE73" s="881"/>
      <c r="AF73" s="892"/>
      <c r="AH73" s="1727"/>
      <c r="AI73" s="1727"/>
      <c r="AJ73" s="413"/>
      <c r="AK73" s="413"/>
      <c r="AL73" s="413"/>
      <c r="AM73" s="413"/>
      <c r="CM73" s="425"/>
    </row>
    <row r="74" spans="3:91" ht="16" hidden="1"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89"/>
      <c r="L74" s="1690"/>
      <c r="M74" s="1691"/>
      <c r="N74" s="1190" cm="1">
        <f t="array" ref="N74">IF($E$20="Credera US",V74,SUMPRODUCT(('Rates &amp; Drop Downs INT'!$CG$6:$CG$747=$D74)*('Rates &amp; Drop Downs INT'!$CI$6:$CI$747=$F74)*('Rates &amp; Drop Downs INT'!$CK$6:$CK$747=$K74)*('Rates &amp; Drop Downs INT'!$CM$6:$CM$747)))</f>
        <v>0</v>
      </c>
      <c r="O74" s="1696"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7"/>
      <c r="Q74" s="1697"/>
      <c r="R74" s="1697"/>
      <c r="S74" s="1698"/>
      <c r="T74" s="1699"/>
      <c r="U74" s="1700"/>
      <c r="V74" s="1222" t="str">
        <f>IFERROR(IF(ISBLANK(K74)," ",_xlfn.XLOOKUP(K74,'Rates &amp; Drop Downs INT'!C:C,'Rates &amp; Drop Downs INT'!J:J)),N74)</f>
        <v xml:space="preserve"> </v>
      </c>
      <c r="W74" s="1203" t="str">
        <f t="shared" si="0"/>
        <v xml:space="preserve"> </v>
      </c>
      <c r="X74" s="1203"/>
      <c r="Y74" s="880" t="s">
        <v>2271</v>
      </c>
      <c r="Z74" s="1187"/>
      <c r="AA74" s="1190"/>
      <c r="AB74" s="1274"/>
      <c r="AC74" s="1668"/>
      <c r="AD74" s="1669"/>
      <c r="AE74" s="881"/>
      <c r="AF74" s="892"/>
      <c r="AH74" s="1727"/>
      <c r="AI74" s="1727"/>
      <c r="AJ74" s="413"/>
      <c r="AK74" s="413"/>
      <c r="AL74" s="413"/>
      <c r="AM74" s="413"/>
      <c r="CM74" s="425"/>
    </row>
    <row r="75" spans="3:91" ht="16" hidden="1"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89"/>
      <c r="L75" s="1690"/>
      <c r="M75" s="1691"/>
      <c r="N75" s="1190" cm="1">
        <f t="array" ref="N75">IF($E$20="Credera US",V75,SUMPRODUCT(('Rates &amp; Drop Downs INT'!$CG$6:$CG$747=$D75)*('Rates &amp; Drop Downs INT'!$CI$6:$CI$747=$F75)*('Rates &amp; Drop Downs INT'!$CK$6:$CK$747=$K75)*('Rates &amp; Drop Downs INT'!$CM$6:$CM$747)))</f>
        <v>0</v>
      </c>
      <c r="O75" s="1696"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7"/>
      <c r="Q75" s="1697"/>
      <c r="R75" s="1697"/>
      <c r="S75" s="1698"/>
      <c r="T75" s="1699"/>
      <c r="U75" s="1700"/>
      <c r="V75" s="1222" t="str">
        <f>IFERROR(IF(ISBLANK(K75)," ",_xlfn.XLOOKUP(K75,'Rates &amp; Drop Downs INT'!C:C,'Rates &amp; Drop Downs INT'!J:J)),N75)</f>
        <v xml:space="preserve"> </v>
      </c>
      <c r="W75" s="1203" t="str">
        <f t="shared" si="0"/>
        <v xml:space="preserve"> </v>
      </c>
      <c r="X75" s="1203"/>
      <c r="Y75" s="880" t="s">
        <v>2271</v>
      </c>
      <c r="Z75" s="1187"/>
      <c r="AA75" s="1190"/>
      <c r="AB75" s="1274"/>
      <c r="AC75" s="1668"/>
      <c r="AD75" s="1669"/>
      <c r="AE75" s="881"/>
      <c r="AF75" s="892"/>
      <c r="AH75" s="1727"/>
      <c r="AI75" s="1727"/>
      <c r="AJ75" s="413"/>
      <c r="AK75" s="413"/>
      <c r="AL75" s="413"/>
      <c r="AM75" s="413"/>
      <c r="CM75" s="425"/>
    </row>
    <row r="76" spans="3:91" ht="16" hidden="1"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89"/>
      <c r="L76" s="1690"/>
      <c r="M76" s="1691"/>
      <c r="N76" s="1190" cm="1">
        <f t="array" ref="N76">IF($E$20="Credera US",V76,SUMPRODUCT(('Rates &amp; Drop Downs INT'!$CG$6:$CG$747=$D76)*('Rates &amp; Drop Downs INT'!$CI$6:$CI$747=$F76)*('Rates &amp; Drop Downs INT'!$CK$6:$CK$747=$K76)*('Rates &amp; Drop Downs INT'!$CM$6:$CM$747)))</f>
        <v>0</v>
      </c>
      <c r="O76" s="1696"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7"/>
      <c r="Q76" s="1697"/>
      <c r="R76" s="1697"/>
      <c r="S76" s="1698"/>
      <c r="T76" s="1699"/>
      <c r="U76" s="1700"/>
      <c r="V76" s="1222" t="str">
        <f>IFERROR(IF(ISBLANK(K76)," ",_xlfn.XLOOKUP(K76,'Rates &amp; Drop Downs INT'!C:C,'Rates &amp; Drop Downs INT'!J:J)),N76)</f>
        <v xml:space="preserve"> </v>
      </c>
      <c r="W76" s="1203" t="str">
        <f t="shared" si="0"/>
        <v xml:space="preserve"> </v>
      </c>
      <c r="X76" s="1203"/>
      <c r="Y76" s="880" t="s">
        <v>2271</v>
      </c>
      <c r="Z76" s="1187"/>
      <c r="AA76" s="1190"/>
      <c r="AB76" s="1274"/>
      <c r="AC76" s="1668"/>
      <c r="AD76" s="1669"/>
      <c r="AE76" s="881"/>
      <c r="AF76" s="892"/>
      <c r="AH76" s="1727"/>
      <c r="AI76" s="1727"/>
      <c r="AJ76" s="413"/>
      <c r="AK76" s="413"/>
      <c r="AL76" s="413"/>
      <c r="AM76" s="413"/>
      <c r="CM76" s="425"/>
    </row>
    <row r="77" spans="3:91" ht="16" hidden="1"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89"/>
      <c r="L77" s="1690"/>
      <c r="M77" s="1691"/>
      <c r="N77" s="1190" cm="1">
        <f t="array" ref="N77">IF($E$20="Credera US",V77,SUMPRODUCT(('Rates &amp; Drop Downs INT'!$CG$6:$CG$747=$D77)*('Rates &amp; Drop Downs INT'!$CI$6:$CI$747=$F77)*('Rates &amp; Drop Downs INT'!$CK$6:$CK$747=$K77)*('Rates &amp; Drop Downs INT'!$CM$6:$CM$747)))</f>
        <v>0</v>
      </c>
      <c r="O77" s="1696"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7"/>
      <c r="Q77" s="1697"/>
      <c r="R77" s="1697"/>
      <c r="S77" s="1698"/>
      <c r="T77" s="1699"/>
      <c r="U77" s="1700"/>
      <c r="V77" s="1222" t="str">
        <f>IFERROR(IF(ISBLANK(K77)," ",_xlfn.XLOOKUP(K77,'Rates &amp; Drop Downs INT'!C:C,'Rates &amp; Drop Downs INT'!J:J)),N77)</f>
        <v xml:space="preserve"> </v>
      </c>
      <c r="W77" s="1203" t="str">
        <f t="shared" si="0"/>
        <v xml:space="preserve"> </v>
      </c>
      <c r="X77" s="1203"/>
      <c r="Y77" s="880" t="s">
        <v>2271</v>
      </c>
      <c r="Z77" s="1187"/>
      <c r="AA77" s="1190"/>
      <c r="AB77" s="1274"/>
      <c r="AC77" s="1668"/>
      <c r="AD77" s="1669"/>
      <c r="AE77" s="881"/>
      <c r="AF77" s="892"/>
      <c r="AH77" s="1727"/>
      <c r="AI77" s="1727"/>
      <c r="AJ77" s="413"/>
      <c r="AK77" s="413"/>
      <c r="AL77" s="413"/>
      <c r="AM77" s="413"/>
      <c r="CM77" s="425"/>
    </row>
    <row r="78" spans="3:91" ht="16" hidden="1"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89"/>
      <c r="L78" s="1690"/>
      <c r="M78" s="1691"/>
      <c r="N78" s="1190" cm="1">
        <f t="array" ref="N78">IF($E$20="Credera US",V78,SUMPRODUCT(('Rates &amp; Drop Downs INT'!$CG$6:$CG$747=$D78)*('Rates &amp; Drop Downs INT'!$CI$6:$CI$747=$F78)*('Rates &amp; Drop Downs INT'!$CK$6:$CK$747=$K78)*('Rates &amp; Drop Downs INT'!$CM$6:$CM$747)))</f>
        <v>0</v>
      </c>
      <c r="O78" s="1696"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7"/>
      <c r="Q78" s="1697"/>
      <c r="R78" s="1697"/>
      <c r="S78" s="1698"/>
      <c r="T78" s="1699"/>
      <c r="U78" s="1700"/>
      <c r="V78" s="1222" t="str">
        <f>IFERROR(IF(ISBLANK(K78)," ",_xlfn.XLOOKUP(K78,'Rates &amp; Drop Downs INT'!C:C,'Rates &amp; Drop Downs INT'!J:J)),N78)</f>
        <v xml:space="preserve"> </v>
      </c>
      <c r="W78" s="1203" t="str">
        <f t="shared" si="0"/>
        <v xml:space="preserve"> </v>
      </c>
      <c r="X78" s="1203"/>
      <c r="Y78" s="880" t="s">
        <v>2271</v>
      </c>
      <c r="Z78" s="1187"/>
      <c r="AA78" s="1190"/>
      <c r="AB78" s="1274"/>
      <c r="AC78" s="1668"/>
      <c r="AD78" s="1669"/>
      <c r="AE78" s="881"/>
      <c r="AF78" s="892"/>
      <c r="AH78" s="1727"/>
      <c r="AI78" s="1727"/>
      <c r="AJ78" s="413"/>
      <c r="AK78" s="413"/>
      <c r="AL78" s="413"/>
      <c r="AM78" s="413"/>
      <c r="CM78" s="425"/>
    </row>
    <row r="79" spans="3:91" ht="16" hidden="1"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89"/>
      <c r="L79" s="1690"/>
      <c r="M79" s="1691"/>
      <c r="N79" s="1190" cm="1">
        <f t="array" ref="N79">IF($E$20="Credera US",V79,SUMPRODUCT(('Rates &amp; Drop Downs INT'!$CG$6:$CG$747=$D79)*('Rates &amp; Drop Downs INT'!$CI$6:$CI$747=$F79)*('Rates &amp; Drop Downs INT'!$CK$6:$CK$747=$K79)*('Rates &amp; Drop Downs INT'!$CM$6:$CM$747)))</f>
        <v>0</v>
      </c>
      <c r="O79" s="1696"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7"/>
      <c r="Q79" s="1697"/>
      <c r="R79" s="1697"/>
      <c r="S79" s="1698"/>
      <c r="T79" s="1699"/>
      <c r="U79" s="1700"/>
      <c r="V79" s="1222" t="str">
        <f>IFERROR(IF(ISBLANK(K79)," ",_xlfn.XLOOKUP(K79,'Rates &amp; Drop Downs INT'!C:C,'Rates &amp; Drop Downs INT'!J:J)),N79)</f>
        <v xml:space="preserve"> </v>
      </c>
      <c r="W79" s="1203" t="str">
        <f t="shared" si="0"/>
        <v xml:space="preserve"> </v>
      </c>
      <c r="X79" s="1203"/>
      <c r="Y79" s="880" t="s">
        <v>2271</v>
      </c>
      <c r="Z79" s="1187"/>
      <c r="AA79" s="1190"/>
      <c r="AB79" s="1274"/>
      <c r="AC79" s="1668"/>
      <c r="AD79" s="1669"/>
      <c r="AE79" s="881"/>
      <c r="AF79" s="892"/>
      <c r="AH79" s="1727"/>
      <c r="AI79" s="1727"/>
      <c r="AJ79" s="413"/>
      <c r="AK79" s="413"/>
      <c r="AL79" s="413"/>
      <c r="AM79" s="413"/>
      <c r="CM79" s="425"/>
    </row>
    <row r="80" spans="3:91" ht="16" hidden="1"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89"/>
      <c r="L80" s="1690"/>
      <c r="M80" s="1691"/>
      <c r="N80" s="1190" cm="1">
        <f t="array" ref="N80">IF($E$20="Credera US",V80,SUMPRODUCT(('Rates &amp; Drop Downs INT'!$CG$6:$CG$747=$D80)*('Rates &amp; Drop Downs INT'!$CI$6:$CI$747=$F80)*('Rates &amp; Drop Downs INT'!$CK$6:$CK$747=$K80)*('Rates &amp; Drop Downs INT'!$CM$6:$CM$747)))</f>
        <v>0</v>
      </c>
      <c r="O80" s="1696"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7"/>
      <c r="Q80" s="1697"/>
      <c r="R80" s="1697"/>
      <c r="S80" s="1698"/>
      <c r="T80" s="1699"/>
      <c r="U80" s="1700"/>
      <c r="V80" s="1222" t="str">
        <f>IFERROR(IF(ISBLANK(K80)," ",_xlfn.XLOOKUP(K80,'Rates &amp; Drop Downs INT'!C:C,'Rates &amp; Drop Downs INT'!J:J)),N80)</f>
        <v xml:space="preserve"> </v>
      </c>
      <c r="W80" s="1203" t="str">
        <f t="shared" si="0"/>
        <v xml:space="preserve"> </v>
      </c>
      <c r="X80" s="1203"/>
      <c r="Y80" s="880" t="s">
        <v>2271</v>
      </c>
      <c r="Z80" s="1187"/>
      <c r="AA80" s="1190"/>
      <c r="AB80" s="1274"/>
      <c r="AC80" s="1668"/>
      <c r="AD80" s="1669"/>
      <c r="AE80" s="881"/>
      <c r="AF80" s="892"/>
      <c r="AH80" s="1727"/>
      <c r="AI80" s="1727"/>
      <c r="AJ80" s="413"/>
      <c r="AK80" s="413"/>
      <c r="AL80" s="413"/>
      <c r="AM80" s="413"/>
      <c r="CM80" s="425"/>
    </row>
    <row r="81" spans="3:91" ht="16" hidden="1"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89"/>
      <c r="L81" s="1690"/>
      <c r="M81" s="1691"/>
      <c r="N81" s="1190" cm="1">
        <f t="array" ref="N81">IF($E$20="Credera US",V81,SUMPRODUCT(('Rates &amp; Drop Downs INT'!$CG$6:$CG$747=$D81)*('Rates &amp; Drop Downs INT'!$CI$6:$CI$747=$F81)*('Rates &amp; Drop Downs INT'!$CK$6:$CK$747=$K81)*('Rates &amp; Drop Downs INT'!$CM$6:$CM$747)))</f>
        <v>0</v>
      </c>
      <c r="O81" s="1696"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7"/>
      <c r="Q81" s="1697"/>
      <c r="R81" s="1697"/>
      <c r="S81" s="1698"/>
      <c r="T81" s="1699"/>
      <c r="U81" s="1700"/>
      <c r="V81" s="1222" t="str">
        <f>IFERROR(IF(ISBLANK(K81)," ",_xlfn.XLOOKUP(K81,'Rates &amp; Drop Downs INT'!C:C,'Rates &amp; Drop Downs INT'!J:J)),N81)</f>
        <v xml:space="preserve"> </v>
      </c>
      <c r="W81" s="1203" t="str">
        <f t="shared" si="0"/>
        <v xml:space="preserve"> </v>
      </c>
      <c r="X81" s="1203"/>
      <c r="Y81" s="880" t="s">
        <v>2271</v>
      </c>
      <c r="Z81" s="1187"/>
      <c r="AA81" s="1190"/>
      <c r="AB81" s="1274"/>
      <c r="AC81" s="1668"/>
      <c r="AD81" s="1669"/>
      <c r="AE81" s="881"/>
      <c r="AF81" s="892"/>
      <c r="AH81" s="1727"/>
      <c r="AI81" s="1727"/>
      <c r="AJ81" s="413"/>
      <c r="AK81" s="413"/>
      <c r="AL81" s="413"/>
      <c r="AM81" s="413"/>
      <c r="CM81" s="425"/>
    </row>
    <row r="82" spans="3:91" ht="16" hidden="1"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89"/>
      <c r="L82" s="1690"/>
      <c r="M82" s="1691"/>
      <c r="N82" s="1190" cm="1">
        <f t="array" ref="N82">IF($E$20="Credera US",V82,SUMPRODUCT(('Rates &amp; Drop Downs INT'!$CG$6:$CG$747=$D82)*('Rates &amp; Drop Downs INT'!$CI$6:$CI$747=$F82)*('Rates &amp; Drop Downs INT'!$CK$6:$CK$747=$K82)*('Rates &amp; Drop Downs INT'!$CM$6:$CM$747)))</f>
        <v>0</v>
      </c>
      <c r="O82" s="1696"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7"/>
      <c r="Q82" s="1697"/>
      <c r="R82" s="1697"/>
      <c r="S82" s="1698"/>
      <c r="T82" s="1699"/>
      <c r="U82" s="1700"/>
      <c r="V82" s="1222" t="str">
        <f>IFERROR(IF(ISBLANK(K82)," ",_xlfn.XLOOKUP(K82,'Rates &amp; Drop Downs INT'!C:C,'Rates &amp; Drop Downs INT'!J:J)),N82)</f>
        <v xml:space="preserve"> </v>
      </c>
      <c r="W82" s="1203" t="str">
        <f t="shared" si="0"/>
        <v xml:space="preserve"> </v>
      </c>
      <c r="X82" s="1203"/>
      <c r="Y82" s="880" t="s">
        <v>2271</v>
      </c>
      <c r="Z82" s="1187"/>
      <c r="AA82" s="1190"/>
      <c r="AB82" s="1274"/>
      <c r="AC82" s="1668"/>
      <c r="AD82" s="1669"/>
      <c r="AE82" s="881"/>
      <c r="AF82" s="892"/>
      <c r="AH82" s="1727"/>
      <c r="AI82" s="1727"/>
      <c r="AJ82" s="413"/>
      <c r="AK82" s="413"/>
      <c r="AL82" s="413"/>
      <c r="AM82" s="413"/>
      <c r="CM82" s="425"/>
    </row>
    <row r="83" spans="3:91" ht="16" hidden="1"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89"/>
      <c r="L83" s="1690"/>
      <c r="M83" s="1691"/>
      <c r="N83" s="1190" cm="1">
        <f t="array" ref="N83">IF($E$20="Credera US",V83,SUMPRODUCT(('Rates &amp; Drop Downs INT'!$CG$6:$CG$747=$D83)*('Rates &amp; Drop Downs INT'!$CI$6:$CI$747=$F83)*('Rates &amp; Drop Downs INT'!$CK$6:$CK$747=$K83)*('Rates &amp; Drop Downs INT'!$CM$6:$CM$747)))</f>
        <v>0</v>
      </c>
      <c r="O83" s="1696"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7"/>
      <c r="Q83" s="1697"/>
      <c r="R83" s="1697"/>
      <c r="S83" s="1698"/>
      <c r="T83" s="1699"/>
      <c r="U83" s="1700"/>
      <c r="V83" s="1222" t="str">
        <f>IFERROR(IF(ISBLANK(K83)," ",_xlfn.XLOOKUP(K83,'Rates &amp; Drop Downs INT'!C:C,'Rates &amp; Drop Downs INT'!J:J)),N83)</f>
        <v xml:space="preserve"> </v>
      </c>
      <c r="W83" s="1203" t="str">
        <f t="shared" si="0"/>
        <v xml:space="preserve"> </v>
      </c>
      <c r="X83" s="1203"/>
      <c r="Y83" s="880" t="s">
        <v>2271</v>
      </c>
      <c r="Z83" s="1187"/>
      <c r="AA83" s="1190"/>
      <c r="AB83" s="1274"/>
      <c r="AC83" s="1668"/>
      <c r="AD83" s="1669"/>
      <c r="AE83" s="881"/>
      <c r="AF83" s="892"/>
      <c r="AH83" s="1727"/>
      <c r="AI83" s="1727"/>
      <c r="AJ83" s="413"/>
      <c r="AK83" s="413"/>
      <c r="AL83" s="413"/>
      <c r="AM83" s="413"/>
      <c r="CM83" s="425"/>
    </row>
    <row r="84" spans="3:91" ht="16" hidden="1"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89"/>
      <c r="L84" s="1690"/>
      <c r="M84" s="1691"/>
      <c r="N84" s="1190" cm="1">
        <f t="array" ref="N84">IF($E$20="Credera US",V84,SUMPRODUCT(('Rates &amp; Drop Downs INT'!$CG$6:$CG$747=$D84)*('Rates &amp; Drop Downs INT'!$CI$6:$CI$747=$F84)*('Rates &amp; Drop Downs INT'!$CK$6:$CK$747=$K84)*('Rates &amp; Drop Downs INT'!$CM$6:$CM$747)))</f>
        <v>0</v>
      </c>
      <c r="O84" s="1696"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7"/>
      <c r="Q84" s="1697"/>
      <c r="R84" s="1697"/>
      <c r="S84" s="1698"/>
      <c r="T84" s="1699"/>
      <c r="U84" s="1700"/>
      <c r="V84" s="1222" t="str">
        <f>IFERROR(IF(ISBLANK(K84)," ",_xlfn.XLOOKUP(K84,'Rates &amp; Drop Downs INT'!C:C,'Rates &amp; Drop Downs INT'!J:J)),N84)</f>
        <v xml:space="preserve"> </v>
      </c>
      <c r="W84" s="1203" t="str">
        <f t="shared" si="0"/>
        <v xml:space="preserve"> </v>
      </c>
      <c r="X84" s="1203"/>
      <c r="Y84" s="880" t="s">
        <v>2271</v>
      </c>
      <c r="Z84" s="1187"/>
      <c r="AA84" s="1190"/>
      <c r="AB84" s="1274"/>
      <c r="AC84" s="1668"/>
      <c r="AD84" s="1669"/>
      <c r="AE84" s="881"/>
      <c r="AF84" s="892"/>
      <c r="AH84" s="1727"/>
      <c r="AI84" s="1727"/>
      <c r="AJ84" s="413"/>
      <c r="AK84" s="413"/>
      <c r="AL84" s="413"/>
      <c r="AM84" s="413"/>
      <c r="CM84" s="425"/>
    </row>
    <row r="85" spans="3:91" ht="16" hidden="1"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89"/>
      <c r="L85" s="1690"/>
      <c r="M85" s="1691"/>
      <c r="N85" s="1190" cm="1">
        <f t="array" ref="N85">IF($E$20="Credera US",V85,SUMPRODUCT(('Rates &amp; Drop Downs INT'!$CG$6:$CG$747=$D85)*('Rates &amp; Drop Downs INT'!$CI$6:$CI$747=$F85)*('Rates &amp; Drop Downs INT'!$CK$6:$CK$747=$K85)*('Rates &amp; Drop Downs INT'!$CM$6:$CM$747)))</f>
        <v>0</v>
      </c>
      <c r="O85" s="1696"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7"/>
      <c r="Q85" s="1697"/>
      <c r="R85" s="1697"/>
      <c r="S85" s="1698"/>
      <c r="T85" s="1699"/>
      <c r="U85" s="1700"/>
      <c r="V85" s="1222" t="str">
        <f>IFERROR(IF(ISBLANK(K85)," ",_xlfn.XLOOKUP(K85,'Rates &amp; Drop Downs INT'!C:C,'Rates &amp; Drop Downs INT'!J:J)),N85)</f>
        <v xml:space="preserve"> </v>
      </c>
      <c r="W85" s="1203" t="str">
        <f t="shared" si="0"/>
        <v xml:space="preserve"> </v>
      </c>
      <c r="X85" s="1203"/>
      <c r="Y85" s="880" t="s">
        <v>2271</v>
      </c>
      <c r="Z85" s="1187"/>
      <c r="AA85" s="1190"/>
      <c r="AB85" s="1274"/>
      <c r="AC85" s="1668"/>
      <c r="AD85" s="1669"/>
      <c r="AE85" s="881"/>
      <c r="AF85" s="892"/>
      <c r="AH85" s="1727"/>
      <c r="AI85" s="1727"/>
      <c r="AJ85" s="413"/>
      <c r="AK85" s="413"/>
      <c r="AL85" s="413"/>
      <c r="AM85" s="413"/>
      <c r="CM85" s="425"/>
    </row>
    <row r="86" spans="3:91" ht="16" hidden="1"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89"/>
      <c r="L86" s="1690"/>
      <c r="M86" s="1691"/>
      <c r="N86" s="1190" cm="1">
        <f t="array" ref="N86">IF($E$20="Credera US",V86,SUMPRODUCT(('Rates &amp; Drop Downs INT'!$CG$6:$CG$747=$D86)*('Rates &amp; Drop Downs INT'!$CI$6:$CI$747=$F86)*('Rates &amp; Drop Downs INT'!$CK$6:$CK$747=$K86)*('Rates &amp; Drop Downs INT'!$CM$6:$CM$747)))</f>
        <v>0</v>
      </c>
      <c r="O86" s="1696"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7"/>
      <c r="Q86" s="1697"/>
      <c r="R86" s="1697"/>
      <c r="S86" s="1698"/>
      <c r="T86" s="1699"/>
      <c r="U86" s="1700"/>
      <c r="V86" s="1222" t="str">
        <f>IFERROR(IF(ISBLANK(K86)," ",_xlfn.XLOOKUP(K86,'Rates &amp; Drop Downs INT'!C:C,'Rates &amp; Drop Downs INT'!J:J)),N86)</f>
        <v xml:space="preserve"> </v>
      </c>
      <c r="W86" s="1203" t="str">
        <f t="shared" si="0"/>
        <v xml:space="preserve"> </v>
      </c>
      <c r="X86" s="1203"/>
      <c r="Y86" s="880" t="s">
        <v>2271</v>
      </c>
      <c r="Z86" s="1187"/>
      <c r="AA86" s="1190"/>
      <c r="AB86" s="1274"/>
      <c r="AC86" s="1668"/>
      <c r="AD86" s="1669"/>
      <c r="AE86" s="881"/>
      <c r="AF86" s="892"/>
      <c r="AH86" s="1727"/>
      <c r="AI86" s="1727"/>
      <c r="AJ86" s="413"/>
      <c r="AK86" s="413"/>
      <c r="AL86" s="413"/>
      <c r="AM86" s="413"/>
      <c r="CM86" s="425"/>
    </row>
    <row r="87" spans="3:91" ht="16" hidden="1"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89"/>
      <c r="L87" s="1690"/>
      <c r="M87" s="1691"/>
      <c r="N87" s="1190" cm="1">
        <f t="array" ref="N87">IF($E$20="Credera US",V87,SUMPRODUCT(('Rates &amp; Drop Downs INT'!$CG$6:$CG$747=$D87)*('Rates &amp; Drop Downs INT'!$CI$6:$CI$747=$F87)*('Rates &amp; Drop Downs INT'!$CK$6:$CK$747=$K87)*('Rates &amp; Drop Downs INT'!$CM$6:$CM$747)))</f>
        <v>0</v>
      </c>
      <c r="O87" s="1696"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7"/>
      <c r="Q87" s="1697"/>
      <c r="R87" s="1697"/>
      <c r="S87" s="1698"/>
      <c r="T87" s="1699"/>
      <c r="U87" s="1700"/>
      <c r="V87" s="1222" t="str">
        <f>IFERROR(IF(ISBLANK(K87)," ",_xlfn.XLOOKUP(K87,'Rates &amp; Drop Downs INT'!C:C,'Rates &amp; Drop Downs INT'!J:J)),N87)</f>
        <v xml:space="preserve"> </v>
      </c>
      <c r="W87" s="1203" t="str">
        <f t="shared" si="0"/>
        <v xml:space="preserve"> </v>
      </c>
      <c r="X87" s="1203"/>
      <c r="Y87" s="880" t="s">
        <v>2271</v>
      </c>
      <c r="Z87" s="1187"/>
      <c r="AA87" s="1190"/>
      <c r="AB87" s="1274"/>
      <c r="AC87" s="1668"/>
      <c r="AD87" s="1669"/>
      <c r="AE87" s="881"/>
      <c r="AF87" s="892"/>
      <c r="AH87" s="1727"/>
      <c r="AI87" s="1727"/>
      <c r="AJ87" s="413"/>
      <c r="AK87" s="413"/>
      <c r="AL87" s="413"/>
      <c r="AM87" s="413"/>
      <c r="CM87" s="425"/>
    </row>
    <row r="88" spans="3:91" ht="16" hidden="1"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89"/>
      <c r="L88" s="1690"/>
      <c r="M88" s="1691"/>
      <c r="N88" s="1190" cm="1">
        <f t="array" ref="N88">IF($E$20="Credera US",V88,SUMPRODUCT(('Rates &amp; Drop Downs INT'!$CG$6:$CG$747=$D88)*('Rates &amp; Drop Downs INT'!$CI$6:$CI$747=$F88)*('Rates &amp; Drop Downs INT'!$CK$6:$CK$747=$K88)*('Rates &amp; Drop Downs INT'!$CM$6:$CM$747)))</f>
        <v>0</v>
      </c>
      <c r="O88" s="1696"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7"/>
      <c r="Q88" s="1697"/>
      <c r="R88" s="1697"/>
      <c r="S88" s="1698"/>
      <c r="T88" s="1699"/>
      <c r="U88" s="1700"/>
      <c r="V88" s="1222" t="str">
        <f>IFERROR(IF(ISBLANK(K88)," ",_xlfn.XLOOKUP(K88,'Rates &amp; Drop Downs INT'!C:C,'Rates &amp; Drop Downs INT'!J:J)),N88)</f>
        <v xml:space="preserve"> </v>
      </c>
      <c r="W88" s="1203" t="str">
        <f t="shared" si="0"/>
        <v xml:space="preserve"> </v>
      </c>
      <c r="X88" s="1203"/>
      <c r="Y88" s="880" t="s">
        <v>2271</v>
      </c>
      <c r="Z88" s="1187"/>
      <c r="AA88" s="1190"/>
      <c r="AB88" s="1274"/>
      <c r="AC88" s="1668"/>
      <c r="AD88" s="1669"/>
      <c r="AE88" s="881"/>
      <c r="AF88" s="892"/>
      <c r="AH88" s="1727"/>
      <c r="AI88" s="1727"/>
      <c r="AJ88" s="413"/>
      <c r="AK88" s="413"/>
      <c r="AL88" s="413"/>
      <c r="AM88" s="413"/>
      <c r="CM88" s="425"/>
    </row>
    <row r="89" spans="3:91" ht="16" hidden="1"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89"/>
      <c r="L89" s="1690"/>
      <c r="M89" s="1691"/>
      <c r="N89" s="1190" cm="1">
        <f t="array" ref="N89">IF($E$20="Credera US",V89,SUMPRODUCT(('Rates &amp; Drop Downs INT'!$CG$6:$CG$747=$D89)*('Rates &amp; Drop Downs INT'!$CI$6:$CI$747=$F89)*('Rates &amp; Drop Downs INT'!$CK$6:$CK$747=$K89)*('Rates &amp; Drop Downs INT'!$CM$6:$CM$747)))</f>
        <v>0</v>
      </c>
      <c r="O89" s="1696"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7"/>
      <c r="Q89" s="1697"/>
      <c r="R89" s="1697"/>
      <c r="S89" s="1698"/>
      <c r="T89" s="1699"/>
      <c r="U89" s="1700"/>
      <c r="V89" s="1222" t="str">
        <f>IFERROR(IF(ISBLANK(K89)," ",_xlfn.XLOOKUP(K89,'Rates &amp; Drop Downs INT'!C:C,'Rates &amp; Drop Downs INT'!J:J)),N89)</f>
        <v xml:space="preserve"> </v>
      </c>
      <c r="W89" s="1203" t="str">
        <f t="shared" si="0"/>
        <v xml:space="preserve"> </v>
      </c>
      <c r="X89" s="1203"/>
      <c r="Y89" s="880" t="s">
        <v>2271</v>
      </c>
      <c r="Z89" s="1187"/>
      <c r="AA89" s="1190"/>
      <c r="AB89" s="1274"/>
      <c r="AC89" s="1668"/>
      <c r="AD89" s="1669"/>
      <c r="AE89" s="881"/>
      <c r="AF89" s="892"/>
      <c r="AH89" s="1727"/>
      <c r="AI89" s="1727"/>
      <c r="AJ89" s="413"/>
      <c r="AK89" s="413"/>
      <c r="AL89" s="413"/>
      <c r="AM89" s="413"/>
      <c r="CM89" s="425"/>
    </row>
    <row r="90" spans="3:91" ht="16" hidden="1"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89"/>
      <c r="L90" s="1690"/>
      <c r="M90" s="1691"/>
      <c r="N90" s="1190" cm="1">
        <f t="array" ref="N90">IF($E$20="Credera US",V90,SUMPRODUCT(('Rates &amp; Drop Downs INT'!$CG$6:$CG$747=$D90)*('Rates &amp; Drop Downs INT'!$CI$6:$CI$747=$F90)*('Rates &amp; Drop Downs INT'!$CK$6:$CK$747=$K90)*('Rates &amp; Drop Downs INT'!$CM$6:$CM$747)))</f>
        <v>0</v>
      </c>
      <c r="O90" s="1696"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7"/>
      <c r="Q90" s="1697"/>
      <c r="R90" s="1697"/>
      <c r="S90" s="1698"/>
      <c r="T90" s="1699"/>
      <c r="U90" s="1700"/>
      <c r="V90" s="1222" t="str">
        <f>IFERROR(IF(ISBLANK(K90)," ",_xlfn.XLOOKUP(K90,'Rates &amp; Drop Downs INT'!C:C,'Rates &amp; Drop Downs INT'!J:J)),N90)</f>
        <v xml:space="preserve"> </v>
      </c>
      <c r="W90" s="1203" t="str">
        <f t="shared" si="0"/>
        <v xml:space="preserve"> </v>
      </c>
      <c r="X90" s="1203"/>
      <c r="Y90" s="880" t="s">
        <v>2271</v>
      </c>
      <c r="Z90" s="1187"/>
      <c r="AA90" s="1190"/>
      <c r="AB90" s="1274"/>
      <c r="AC90" s="1668"/>
      <c r="AD90" s="1669"/>
      <c r="AE90" s="881"/>
      <c r="AF90" s="892"/>
      <c r="AH90" s="1727"/>
      <c r="AI90" s="1727"/>
      <c r="AJ90" s="413"/>
      <c r="AK90" s="413"/>
      <c r="AL90" s="413"/>
      <c r="AM90" s="413"/>
      <c r="CM90" s="425"/>
    </row>
    <row r="91" spans="3:91" ht="16" hidden="1"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89"/>
      <c r="L91" s="1690"/>
      <c r="M91" s="1691"/>
      <c r="N91" s="1190" cm="1">
        <f t="array" ref="N91">IF($E$20="Credera US",V91,SUMPRODUCT(('Rates &amp; Drop Downs INT'!$CG$6:$CG$747=$D91)*('Rates &amp; Drop Downs INT'!$CI$6:$CI$747=$F91)*('Rates &amp; Drop Downs INT'!$CK$6:$CK$747=$K91)*('Rates &amp; Drop Downs INT'!$CM$6:$CM$747)))</f>
        <v>0</v>
      </c>
      <c r="O91" s="1696"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7"/>
      <c r="Q91" s="1697"/>
      <c r="R91" s="1697"/>
      <c r="S91" s="1698"/>
      <c r="T91" s="1699"/>
      <c r="U91" s="1700"/>
      <c r="V91" s="1222" t="str">
        <f>IFERROR(IF(ISBLANK(K91)," ",_xlfn.XLOOKUP(K91,'Rates &amp; Drop Downs INT'!C:C,'Rates &amp; Drop Downs INT'!J:J)),N91)</f>
        <v xml:space="preserve"> </v>
      </c>
      <c r="W91" s="1203" t="str">
        <f t="shared" si="0"/>
        <v xml:space="preserve"> </v>
      </c>
      <c r="X91" s="1203"/>
      <c r="Y91" s="880" t="s">
        <v>2271</v>
      </c>
      <c r="Z91" s="1187"/>
      <c r="AA91" s="1190"/>
      <c r="AB91" s="1274"/>
      <c r="AC91" s="1668"/>
      <c r="AD91" s="1669"/>
      <c r="AE91" s="881"/>
      <c r="AF91" s="892"/>
      <c r="AH91" s="1727"/>
      <c r="AI91" s="1727"/>
      <c r="AJ91" s="413"/>
      <c r="AK91" s="413"/>
      <c r="AL91" s="413"/>
      <c r="AM91" s="413"/>
      <c r="CM91" s="425"/>
    </row>
    <row r="92" spans="3:91" ht="16" hidden="1"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89"/>
      <c r="L92" s="1690"/>
      <c r="M92" s="1691"/>
      <c r="N92" s="1190" cm="1">
        <f t="array" ref="N92">IF($E$20="Credera US",V92,SUMPRODUCT(('Rates &amp; Drop Downs INT'!$CG$6:$CG$747=$D92)*('Rates &amp; Drop Downs INT'!$CI$6:$CI$747=$F92)*('Rates &amp; Drop Downs INT'!$CK$6:$CK$747=$K92)*('Rates &amp; Drop Downs INT'!$CM$6:$CM$747)))</f>
        <v>0</v>
      </c>
      <c r="O92" s="1696"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7"/>
      <c r="Q92" s="1697"/>
      <c r="R92" s="1697"/>
      <c r="S92" s="1698"/>
      <c r="T92" s="1699"/>
      <c r="U92" s="1700"/>
      <c r="V92" s="1222" t="str">
        <f>IFERROR(IF(ISBLANK(K92)," ",_xlfn.XLOOKUP(K92,'Rates &amp; Drop Downs INT'!C:C,'Rates &amp; Drop Downs INT'!J:J)),N92)</f>
        <v xml:space="preserve"> </v>
      </c>
      <c r="W92" s="1203" t="str">
        <f t="shared" si="0"/>
        <v xml:space="preserve"> </v>
      </c>
      <c r="X92" s="1203"/>
      <c r="Y92" s="880" t="s">
        <v>2271</v>
      </c>
      <c r="Z92" s="1187"/>
      <c r="AA92" s="1190"/>
      <c r="AB92" s="1274"/>
      <c r="AC92" s="1668"/>
      <c r="AD92" s="1669"/>
      <c r="AE92" s="881"/>
      <c r="AF92" s="892"/>
      <c r="AH92" s="1727"/>
      <c r="AI92" s="1727"/>
      <c r="AJ92" s="413"/>
      <c r="AK92" s="413"/>
      <c r="AL92" s="413"/>
      <c r="AM92" s="413"/>
      <c r="CM92" s="425"/>
    </row>
    <row r="93" spans="3:91" ht="16" hidden="1"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89"/>
      <c r="L93" s="1690"/>
      <c r="M93" s="1691"/>
      <c r="N93" s="1190" cm="1">
        <f t="array" ref="N93">IF($E$20="Credera US",V93,SUMPRODUCT(('Rates &amp; Drop Downs INT'!$CG$6:$CG$747=$D93)*('Rates &amp; Drop Downs INT'!$CI$6:$CI$747=$F93)*('Rates &amp; Drop Downs INT'!$CK$6:$CK$747=$K93)*('Rates &amp; Drop Downs INT'!$CM$6:$CM$747)))</f>
        <v>0</v>
      </c>
      <c r="O93" s="1696"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7"/>
      <c r="Q93" s="1697"/>
      <c r="R93" s="1697"/>
      <c r="S93" s="1698"/>
      <c r="T93" s="1699"/>
      <c r="U93" s="1700"/>
      <c r="V93" s="1222" t="str">
        <f>IFERROR(IF(ISBLANK(K93)," ",_xlfn.XLOOKUP(K93,'Rates &amp; Drop Downs INT'!C:C,'Rates &amp; Drop Downs INT'!J:J)),N93)</f>
        <v xml:space="preserve"> </v>
      </c>
      <c r="W93" s="1203" t="str">
        <f t="shared" si="0"/>
        <v xml:space="preserve"> </v>
      </c>
      <c r="X93" s="1203"/>
      <c r="Y93" s="880" t="s">
        <v>2271</v>
      </c>
      <c r="Z93" s="1187"/>
      <c r="AA93" s="1190"/>
      <c r="AB93" s="1274"/>
      <c r="AC93" s="1668"/>
      <c r="AD93" s="1669"/>
      <c r="AE93" s="881"/>
      <c r="AF93" s="892"/>
      <c r="AH93" s="1727"/>
      <c r="AI93" s="1727"/>
      <c r="AJ93" s="413"/>
      <c r="AK93" s="413"/>
      <c r="AL93" s="413"/>
      <c r="AM93" s="413"/>
      <c r="CM93" s="425"/>
    </row>
    <row r="94" spans="3:91" ht="16" hidden="1"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89"/>
      <c r="L94" s="1690"/>
      <c r="M94" s="1691"/>
      <c r="N94" s="1190" cm="1">
        <f t="array" ref="N94">IF($E$20="Credera US",V94,SUMPRODUCT(('Rates &amp; Drop Downs INT'!$CG$6:$CG$747=$D94)*('Rates &amp; Drop Downs INT'!$CI$6:$CI$747=$F94)*('Rates &amp; Drop Downs INT'!$CK$6:$CK$747=$K94)*('Rates &amp; Drop Downs INT'!$CM$6:$CM$747)))</f>
        <v>0</v>
      </c>
      <c r="O94" s="1696"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7"/>
      <c r="Q94" s="1697"/>
      <c r="R94" s="1697"/>
      <c r="S94" s="1698"/>
      <c r="T94" s="1699"/>
      <c r="U94" s="1700"/>
      <c r="V94" s="1222" t="str">
        <f>IFERROR(IF(ISBLANK(K94)," ",_xlfn.XLOOKUP(K94,'Rates &amp; Drop Downs INT'!C:C,'Rates &amp; Drop Downs INT'!J:J)),N94)</f>
        <v xml:space="preserve"> </v>
      </c>
      <c r="W94" s="1203" t="str">
        <f t="shared" si="0"/>
        <v xml:space="preserve"> </v>
      </c>
      <c r="X94" s="1203"/>
      <c r="Y94" s="880" t="s">
        <v>2271</v>
      </c>
      <c r="Z94" s="1187"/>
      <c r="AA94" s="1190"/>
      <c r="AB94" s="1274"/>
      <c r="AC94" s="1668"/>
      <c r="AD94" s="1669"/>
      <c r="AE94" s="881"/>
      <c r="AF94" s="892"/>
      <c r="AH94" s="1727"/>
      <c r="AI94" s="1727"/>
      <c r="AJ94" s="413"/>
      <c r="AK94" s="413"/>
      <c r="AL94" s="413"/>
      <c r="AM94" s="413"/>
      <c r="CM94" s="425"/>
    </row>
    <row r="95" spans="3:91" ht="16" hidden="1"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89"/>
      <c r="L95" s="1690"/>
      <c r="M95" s="1691"/>
      <c r="N95" s="1190" cm="1">
        <f t="array" ref="N95">IF($E$20="Credera US",V95,SUMPRODUCT(('Rates &amp; Drop Downs INT'!$CG$6:$CG$747=$D95)*('Rates &amp; Drop Downs INT'!$CI$6:$CI$747=$F95)*('Rates &amp; Drop Downs INT'!$CK$6:$CK$747=$K95)*('Rates &amp; Drop Downs INT'!$CM$6:$CM$747)))</f>
        <v>0</v>
      </c>
      <c r="O95" s="1696"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7"/>
      <c r="Q95" s="1697"/>
      <c r="R95" s="1697"/>
      <c r="S95" s="1698"/>
      <c r="T95" s="1699"/>
      <c r="U95" s="1700"/>
      <c r="V95" s="1222" t="str">
        <f>IFERROR(IF(ISBLANK(K95)," ",_xlfn.XLOOKUP(K95,'Rates &amp; Drop Downs INT'!C:C,'Rates &amp; Drop Downs INT'!J:J)),N95)</f>
        <v xml:space="preserve"> </v>
      </c>
      <c r="W95" s="1203" t="str">
        <f t="shared" si="0"/>
        <v xml:space="preserve"> </v>
      </c>
      <c r="X95" s="1203"/>
      <c r="Y95" s="880" t="s">
        <v>2271</v>
      </c>
      <c r="Z95" s="1187"/>
      <c r="AA95" s="1190"/>
      <c r="AB95" s="1274"/>
      <c r="AC95" s="1668"/>
      <c r="AD95" s="1669"/>
      <c r="AE95" s="881"/>
      <c r="AF95" s="892"/>
      <c r="AH95" s="1727"/>
      <c r="AI95" s="1727"/>
      <c r="AJ95" s="413"/>
      <c r="AK95" s="413"/>
      <c r="AL95" s="413"/>
      <c r="AM95" s="413"/>
      <c r="CM95" s="425"/>
    </row>
    <row r="96" spans="3:91" ht="16" hidden="1"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89"/>
      <c r="L96" s="1690"/>
      <c r="M96" s="1691"/>
      <c r="N96" s="1190" cm="1">
        <f t="array" ref="N96">IF($E$20="Credera US",V96,SUMPRODUCT(('Rates &amp; Drop Downs INT'!$CG$6:$CG$747=$D96)*('Rates &amp; Drop Downs INT'!$CI$6:$CI$747=$F96)*('Rates &amp; Drop Downs INT'!$CK$6:$CK$747=$K96)*('Rates &amp; Drop Downs INT'!$CM$6:$CM$747)))</f>
        <v>0</v>
      </c>
      <c r="O96" s="1696"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7"/>
      <c r="Q96" s="1697"/>
      <c r="R96" s="1697"/>
      <c r="S96" s="1698"/>
      <c r="T96" s="1699"/>
      <c r="U96" s="1700"/>
      <c r="V96" s="1222" t="str">
        <f>IFERROR(IF(ISBLANK(K96)," ",_xlfn.XLOOKUP(K96,'Rates &amp; Drop Downs INT'!C:C,'Rates &amp; Drop Downs INT'!J:J)),N96)</f>
        <v xml:space="preserve"> </v>
      </c>
      <c r="W96" s="1203" t="str">
        <f t="shared" si="0"/>
        <v xml:space="preserve"> </v>
      </c>
      <c r="X96" s="1203"/>
      <c r="Y96" s="880" t="s">
        <v>2271</v>
      </c>
      <c r="Z96" s="1187"/>
      <c r="AA96" s="1190"/>
      <c r="AB96" s="1274"/>
      <c r="AC96" s="1668"/>
      <c r="AD96" s="1669"/>
      <c r="AE96" s="881"/>
      <c r="AF96" s="892"/>
      <c r="AH96" s="1727"/>
      <c r="AI96" s="1727"/>
      <c r="AJ96" s="413"/>
      <c r="AK96" s="413"/>
      <c r="AL96" s="413"/>
      <c r="AM96" s="413"/>
      <c r="CM96" s="425"/>
    </row>
    <row r="97" spans="3:91" ht="16" hidden="1"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89"/>
      <c r="L97" s="1690"/>
      <c r="M97" s="1691"/>
      <c r="N97" s="1190" cm="1">
        <f t="array" ref="N97">IF($E$20="Credera US",V97,SUMPRODUCT(('Rates &amp; Drop Downs INT'!$CG$6:$CG$747=$D97)*('Rates &amp; Drop Downs INT'!$CI$6:$CI$747=$F97)*('Rates &amp; Drop Downs INT'!$CK$6:$CK$747=$K97)*('Rates &amp; Drop Downs INT'!$CM$6:$CM$747)))</f>
        <v>0</v>
      </c>
      <c r="O97" s="1696"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7"/>
      <c r="Q97" s="1697"/>
      <c r="R97" s="1697"/>
      <c r="S97" s="1698"/>
      <c r="T97" s="1699"/>
      <c r="U97" s="1700"/>
      <c r="V97" s="1222" t="str">
        <f>IFERROR(IF(ISBLANK(K97)," ",_xlfn.XLOOKUP(K97,'Rates &amp; Drop Downs INT'!C:C,'Rates &amp; Drop Downs INT'!J:J)),N97)</f>
        <v xml:space="preserve"> </v>
      </c>
      <c r="W97" s="1203" t="str">
        <f t="shared" si="0"/>
        <v xml:space="preserve"> </v>
      </c>
      <c r="X97" s="1203"/>
      <c r="Y97" s="880" t="s">
        <v>2271</v>
      </c>
      <c r="Z97" s="1187"/>
      <c r="AA97" s="1190"/>
      <c r="AB97" s="1274"/>
      <c r="AC97" s="1668"/>
      <c r="AD97" s="1669"/>
      <c r="AE97" s="881"/>
      <c r="AF97" s="892"/>
      <c r="AH97" s="1727"/>
      <c r="AI97" s="1727"/>
      <c r="AJ97" s="413"/>
      <c r="AK97" s="413"/>
      <c r="AL97" s="413"/>
      <c r="AM97" s="413"/>
      <c r="CM97" s="425"/>
    </row>
    <row r="98" spans="3:91" ht="16" customHeight="1" collapsed="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89"/>
      <c r="L98" s="1690"/>
      <c r="M98" s="1691"/>
      <c r="N98" s="1190" cm="1">
        <f t="array" ref="N98">IF($E$20="Credera US",V98,SUMPRODUCT(('Rates &amp; Drop Downs INT'!$CG$6:$CG$747=$D98)*('Rates &amp; Drop Downs INT'!$CI$6:$CI$747=$F98)*('Rates &amp; Drop Downs INT'!$CK$6:$CK$747=$K98)*('Rates &amp; Drop Downs INT'!$CM$6:$CM$747)))</f>
        <v>0</v>
      </c>
      <c r="O98" s="1696"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7"/>
      <c r="Q98" s="1697"/>
      <c r="R98" s="1697"/>
      <c r="S98" s="1698"/>
      <c r="T98" s="1699"/>
      <c r="U98" s="1700"/>
      <c r="V98" s="1222" t="str">
        <f>IFERROR(IF(ISBLANK(K98)," ",_xlfn.XLOOKUP(K98,'Rates &amp; Drop Downs INT'!C:C,'Rates &amp; Drop Downs INT'!J:J)),N98)</f>
        <v xml:space="preserve"> </v>
      </c>
      <c r="W98" s="1203" t="str">
        <f t="shared" si="0"/>
        <v xml:space="preserve"> </v>
      </c>
      <c r="X98" s="1203"/>
      <c r="Y98" s="880" t="s">
        <v>2271</v>
      </c>
      <c r="Z98" s="1187"/>
      <c r="AA98" s="1190"/>
      <c r="AB98" s="1274"/>
      <c r="AC98" s="1668"/>
      <c r="AD98" s="1669"/>
      <c r="AE98" s="881"/>
      <c r="AF98" s="892"/>
      <c r="AH98" s="1727"/>
      <c r="AI98" s="1727"/>
      <c r="AJ98" s="413"/>
      <c r="AK98" s="413"/>
      <c r="AL98" s="413"/>
      <c r="AM98" s="413"/>
      <c r="CM98" s="425"/>
    </row>
    <row r="99" spans="3:91" hidden="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89"/>
      <c r="L99" s="1690"/>
      <c r="M99" s="1691"/>
      <c r="N99" s="1189" cm="1">
        <f t="array" ref="N99">IF($E$20="Credera US",V99,SUMPRODUCT(('Rates &amp; Drop Downs INT'!$CG$6:$CG$747=$D99)*('Rates &amp; Drop Downs INT'!$CI$6:$CI$747=$F99)*('Rates &amp; Drop Downs INT'!$CK$6:$CK$747=$K99)*('Rates &amp; Drop Downs INT'!$CM$6:$CM$747)))</f>
        <v>0</v>
      </c>
      <c r="O99" s="1696"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7"/>
      <c r="Q99" s="1697"/>
      <c r="R99" s="1697"/>
      <c r="S99" s="1698"/>
      <c r="T99" s="1694"/>
      <c r="U99" s="1694"/>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68"/>
      <c r="AD99" s="1669"/>
      <c r="AE99" s="881"/>
      <c r="AF99" s="892"/>
      <c r="AH99" s="1727"/>
      <c r="AI99" s="1727"/>
      <c r="AJ99" s="413"/>
      <c r="AK99" s="413"/>
      <c r="AL99" s="413"/>
      <c r="AM99" s="413"/>
      <c r="CM99" s="425"/>
    </row>
    <row r="100" spans="3:91" hidden="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89"/>
      <c r="L100" s="1690"/>
      <c r="M100" s="1691"/>
      <c r="N100" s="1189" cm="1">
        <f t="array" ref="N100">IF($E$20="Credera US",V100,SUMPRODUCT(('Rates &amp; Drop Downs INT'!$CG$6:$CG$747=$D100)*('Rates &amp; Drop Downs INT'!$CI$6:$CI$747=$F100)*('Rates &amp; Drop Downs INT'!$CK$6:$CK$747=$K100)*('Rates &amp; Drop Downs INT'!$CM$6:$CM$747)))</f>
        <v>0</v>
      </c>
      <c r="O100" s="1696"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7"/>
      <c r="Q100" s="1697"/>
      <c r="R100" s="1697"/>
      <c r="S100" s="1698"/>
      <c r="T100" s="1694"/>
      <c r="U100" s="1694"/>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68"/>
      <c r="AD100" s="1669"/>
      <c r="AE100" s="881"/>
      <c r="AF100" s="892"/>
      <c r="AH100" s="1727"/>
      <c r="AI100" s="1727"/>
      <c r="AJ100" s="413"/>
      <c r="AK100" s="413"/>
      <c r="AL100" s="413"/>
      <c r="AM100" s="413"/>
      <c r="CM100" s="425"/>
    </row>
    <row r="101" spans="3:91" hidden="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89"/>
      <c r="L101" s="1690"/>
      <c r="M101" s="1691"/>
      <c r="N101" s="1189" cm="1">
        <f t="array" ref="N101">IF($E$20="Credera US",V101,SUMPRODUCT(('Rates &amp; Drop Downs INT'!$CG$6:$CG$747=$D101)*('Rates &amp; Drop Downs INT'!$CI$6:$CI$747=$F101)*('Rates &amp; Drop Downs INT'!$CK$6:$CK$747=$K101)*('Rates &amp; Drop Downs INT'!$CM$6:$CM$747)))</f>
        <v>0</v>
      </c>
      <c r="O101" s="1696"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7"/>
      <c r="Q101" s="1697"/>
      <c r="R101" s="1697"/>
      <c r="S101" s="1698"/>
      <c r="T101" s="1694"/>
      <c r="U101" s="1694"/>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68"/>
      <c r="AD101" s="1669"/>
      <c r="AE101" s="881"/>
      <c r="AF101" s="892"/>
      <c r="AH101" s="1727"/>
      <c r="AI101" s="1727"/>
      <c r="AJ101" s="413"/>
      <c r="AK101" s="413"/>
      <c r="AL101" s="413"/>
      <c r="AM101" s="413"/>
      <c r="CM101" s="425"/>
    </row>
    <row r="102" spans="3:91" hidden="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89"/>
      <c r="L102" s="1690"/>
      <c r="M102" s="1691"/>
      <c r="N102" s="1189" cm="1">
        <f t="array" ref="N102">IF($E$20="Credera US",V102,SUMPRODUCT(('Rates &amp; Drop Downs INT'!$CG$6:$CG$747=$D102)*('Rates &amp; Drop Downs INT'!$CI$6:$CI$747=$F102)*('Rates &amp; Drop Downs INT'!$CK$6:$CK$747=$K102)*('Rates &amp; Drop Downs INT'!$CM$6:$CM$747)))</f>
        <v>0</v>
      </c>
      <c r="O102" s="1696"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7"/>
      <c r="Q102" s="1697"/>
      <c r="R102" s="1697"/>
      <c r="S102" s="1698"/>
      <c r="T102" s="1694"/>
      <c r="U102" s="1694"/>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68"/>
      <c r="AD102" s="1669"/>
      <c r="AE102" s="881"/>
      <c r="AF102" s="892"/>
      <c r="AH102" s="1727"/>
      <c r="AI102" s="1727"/>
      <c r="AJ102" s="413"/>
      <c r="AK102" s="413"/>
      <c r="AL102" s="413"/>
      <c r="AM102" s="413"/>
      <c r="CM102" s="425"/>
    </row>
    <row r="103" spans="3:91" hidden="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89"/>
      <c r="L103" s="1690"/>
      <c r="M103" s="1691"/>
      <c r="N103" s="1189" cm="1">
        <f t="array" ref="N103">IF($E$20="Credera US",V103,SUMPRODUCT(('Rates &amp; Drop Downs INT'!$CG$6:$CG$747=$D103)*('Rates &amp; Drop Downs INT'!$CI$6:$CI$747=$F103)*('Rates &amp; Drop Downs INT'!$CK$6:$CK$747=$K103)*('Rates &amp; Drop Downs INT'!$CM$6:$CM$747)))</f>
        <v>0</v>
      </c>
      <c r="O103" s="1696"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7"/>
      <c r="Q103" s="1697"/>
      <c r="R103" s="1697"/>
      <c r="S103" s="1698"/>
      <c r="T103" s="1694"/>
      <c r="U103" s="1694"/>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68"/>
      <c r="AD103" s="1669"/>
      <c r="AE103" s="881"/>
      <c r="AF103" s="892"/>
      <c r="AH103" s="1727"/>
      <c r="AI103" s="1727"/>
      <c r="AJ103" s="413"/>
      <c r="AK103" s="413"/>
      <c r="AL103" s="413"/>
      <c r="AM103" s="413"/>
      <c r="CM103" s="425"/>
    </row>
    <row r="104" spans="3:91" hidden="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89"/>
      <c r="L104" s="1690"/>
      <c r="M104" s="1691"/>
      <c r="N104" s="1189" cm="1">
        <f t="array" ref="N104">IF($E$20="Credera US",V104,SUMPRODUCT(('Rates &amp; Drop Downs INT'!$CG$6:$CG$747=$D104)*('Rates &amp; Drop Downs INT'!$CI$6:$CI$747=$F104)*('Rates &amp; Drop Downs INT'!$CK$6:$CK$747=$K104)*('Rates &amp; Drop Downs INT'!$CM$6:$CM$747)))</f>
        <v>0</v>
      </c>
      <c r="O104" s="1696"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7"/>
      <c r="Q104" s="1697"/>
      <c r="R104" s="1697"/>
      <c r="S104" s="1698"/>
      <c r="T104" s="1694"/>
      <c r="U104" s="1694"/>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68"/>
      <c r="AD104" s="1669"/>
      <c r="AE104" s="881"/>
      <c r="AF104" s="892"/>
      <c r="AH104" s="1727"/>
      <c r="AI104" s="1727"/>
      <c r="AJ104" s="413"/>
      <c r="AK104" s="413"/>
      <c r="AL104" s="413"/>
      <c r="AM104" s="413"/>
      <c r="CM104" s="425"/>
    </row>
    <row r="105" spans="3:91" hidden="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89"/>
      <c r="L105" s="1690"/>
      <c r="M105" s="1691"/>
      <c r="N105" s="1189" cm="1">
        <f t="array" ref="N105">IF($E$20="Credera US",V105,SUMPRODUCT(('Rates &amp; Drop Downs INT'!$CG$6:$CG$747=$D105)*('Rates &amp; Drop Downs INT'!$CI$6:$CI$747=$F105)*('Rates &amp; Drop Downs INT'!$CK$6:$CK$747=$K105)*('Rates &amp; Drop Downs INT'!$CM$6:$CM$747)))</f>
        <v>0</v>
      </c>
      <c r="O105" s="1696"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7"/>
      <c r="Q105" s="1697"/>
      <c r="R105" s="1697"/>
      <c r="S105" s="1698"/>
      <c r="T105" s="1694"/>
      <c r="U105" s="1694"/>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68"/>
      <c r="AD105" s="1669"/>
      <c r="AE105" s="881"/>
      <c r="AF105" s="892"/>
      <c r="AH105" s="1727"/>
      <c r="AI105" s="1727"/>
      <c r="AJ105" s="413"/>
      <c r="AK105" s="413"/>
      <c r="AL105" s="413"/>
      <c r="AM105" s="413"/>
      <c r="CM105" s="425"/>
    </row>
    <row r="106" spans="3:91" hidden="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89"/>
      <c r="L106" s="1690"/>
      <c r="M106" s="1691"/>
      <c r="N106" s="1189" cm="1">
        <f t="array" ref="N106">IF($E$20="Credera US",V106,SUMPRODUCT(('Rates &amp; Drop Downs INT'!$CG$6:$CG$747=$D106)*('Rates &amp; Drop Downs INT'!$CI$6:$CI$747=$F106)*('Rates &amp; Drop Downs INT'!$CK$6:$CK$747=$K106)*('Rates &amp; Drop Downs INT'!$CM$6:$CM$747)))</f>
        <v>0</v>
      </c>
      <c r="O106" s="1696"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7"/>
      <c r="Q106" s="1697"/>
      <c r="R106" s="1697"/>
      <c r="S106" s="1698"/>
      <c r="T106" s="1694"/>
      <c r="U106" s="1694"/>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68"/>
      <c r="AD106" s="1669"/>
      <c r="AE106" s="881"/>
      <c r="AF106" s="892"/>
      <c r="AH106" s="1727"/>
      <c r="AI106" s="1727"/>
      <c r="AJ106" s="413"/>
      <c r="AK106" s="413"/>
      <c r="AL106" s="413"/>
      <c r="AM106" s="413"/>
      <c r="CM106" s="425"/>
    </row>
    <row r="107" spans="3:91" hidden="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89"/>
      <c r="L107" s="1690"/>
      <c r="M107" s="1691"/>
      <c r="N107" s="1189" cm="1">
        <f t="array" ref="N107">IF($E$20="Credera US",V107,SUMPRODUCT(('Rates &amp; Drop Downs INT'!$CG$6:$CG$747=$D107)*('Rates &amp; Drop Downs INT'!$CI$6:$CI$747=$F107)*('Rates &amp; Drop Downs INT'!$CK$6:$CK$747=$K107)*('Rates &amp; Drop Downs INT'!$CM$6:$CM$747)))</f>
        <v>0</v>
      </c>
      <c r="O107" s="1696"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7"/>
      <c r="Q107" s="1697"/>
      <c r="R107" s="1697"/>
      <c r="S107" s="1698"/>
      <c r="T107" s="1694"/>
      <c r="U107" s="1694"/>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68"/>
      <c r="AD107" s="1669"/>
      <c r="AE107" s="881"/>
      <c r="AF107" s="892"/>
      <c r="AH107" s="1727"/>
      <c r="AI107" s="1727"/>
      <c r="AJ107" s="413"/>
      <c r="AK107" s="413"/>
      <c r="AL107" s="413"/>
      <c r="AM107" s="413"/>
      <c r="CM107" s="425"/>
    </row>
    <row r="108" spans="3:91" hidden="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89"/>
      <c r="L108" s="1690"/>
      <c r="M108" s="1691"/>
      <c r="N108" s="1189" cm="1">
        <f t="array" ref="N108">IF($E$20="Credera US",V108,SUMPRODUCT(('Rates &amp; Drop Downs INT'!$CG$6:$CG$747=$D108)*('Rates &amp; Drop Downs INT'!$CI$6:$CI$747=$F108)*('Rates &amp; Drop Downs INT'!$CK$6:$CK$747=$K108)*('Rates &amp; Drop Downs INT'!$CM$6:$CM$747)))</f>
        <v>0</v>
      </c>
      <c r="O108" s="1696"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7"/>
      <c r="Q108" s="1697"/>
      <c r="R108" s="1697"/>
      <c r="S108" s="1698"/>
      <c r="T108" s="1694"/>
      <c r="U108" s="1694"/>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68"/>
      <c r="AD108" s="1669"/>
      <c r="AE108" s="881"/>
      <c r="AF108" s="892"/>
      <c r="AH108" s="1727"/>
      <c r="AI108" s="1727"/>
      <c r="AJ108" s="413"/>
      <c r="AK108" s="413"/>
      <c r="AL108" s="413"/>
      <c r="AM108" s="413"/>
      <c r="CM108" s="425"/>
    </row>
    <row r="109" spans="3:91" hidden="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89"/>
      <c r="L109" s="1690"/>
      <c r="M109" s="1691"/>
      <c r="N109" s="1189" cm="1">
        <f t="array" ref="N109">IF($E$20="Credera US",V109,SUMPRODUCT(('Rates &amp; Drop Downs INT'!$CG$6:$CG$747=$D109)*('Rates &amp; Drop Downs INT'!$CI$6:$CI$747=$F109)*('Rates &amp; Drop Downs INT'!$CK$6:$CK$747=$K109)*('Rates &amp; Drop Downs INT'!$CM$6:$CM$747)))</f>
        <v>0</v>
      </c>
      <c r="O109" s="1696"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7"/>
      <c r="Q109" s="1697"/>
      <c r="R109" s="1697"/>
      <c r="S109" s="1698"/>
      <c r="T109" s="1694"/>
      <c r="U109" s="1694"/>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68"/>
      <c r="AD109" s="1669"/>
      <c r="AE109" s="881"/>
      <c r="AF109" s="892"/>
      <c r="AH109" s="1727"/>
      <c r="AI109" s="1727"/>
      <c r="AJ109" s="413"/>
      <c r="AK109" s="413"/>
      <c r="AL109" s="413"/>
      <c r="AM109" s="413"/>
      <c r="CM109" s="425"/>
    </row>
    <row r="110" spans="3:91" hidden="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89"/>
      <c r="L110" s="1690"/>
      <c r="M110" s="1691"/>
      <c r="N110" s="1189" cm="1">
        <f t="array" ref="N110">IF($E$20="Credera US",V110,SUMPRODUCT(('Rates &amp; Drop Downs INT'!$CG$6:$CG$747=$D110)*('Rates &amp; Drop Downs INT'!$CI$6:$CI$747=$F110)*('Rates &amp; Drop Downs INT'!$CK$6:$CK$747=$K110)*('Rates &amp; Drop Downs INT'!$CM$6:$CM$747)))</f>
        <v>0</v>
      </c>
      <c r="O110" s="1696"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7"/>
      <c r="Q110" s="1697"/>
      <c r="R110" s="1697"/>
      <c r="S110" s="1698"/>
      <c r="T110" s="1694"/>
      <c r="U110" s="1694"/>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68"/>
      <c r="AD110" s="1669"/>
      <c r="AE110" s="881"/>
      <c r="AF110" s="892"/>
      <c r="AH110" s="1727"/>
      <c r="AI110" s="1727"/>
      <c r="AJ110" s="413"/>
      <c r="AK110" s="413"/>
      <c r="AL110" s="413"/>
      <c r="AM110" s="413"/>
      <c r="CM110" s="425"/>
    </row>
    <row r="111" spans="3:91" hidden="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89"/>
      <c r="L111" s="1690"/>
      <c r="M111" s="1691"/>
      <c r="N111" s="1189" cm="1">
        <f t="array" ref="N111">IF($E$20="Credera US",V111,SUMPRODUCT(('Rates &amp; Drop Downs INT'!$CG$6:$CG$747=$D111)*('Rates &amp; Drop Downs INT'!$CI$6:$CI$747=$F111)*('Rates &amp; Drop Downs INT'!$CK$6:$CK$747=$K111)*('Rates &amp; Drop Downs INT'!$CM$6:$CM$747)))</f>
        <v>0</v>
      </c>
      <c r="O111" s="1696"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7"/>
      <c r="Q111" s="1697"/>
      <c r="R111" s="1697"/>
      <c r="S111" s="1698"/>
      <c r="T111" s="1694"/>
      <c r="U111" s="1694"/>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68"/>
      <c r="AD111" s="1669"/>
      <c r="AE111" s="881"/>
      <c r="AF111" s="892"/>
      <c r="AH111" s="1727"/>
      <c r="AI111" s="1727"/>
      <c r="AJ111" s="413"/>
      <c r="AK111" s="413"/>
      <c r="AL111" s="413"/>
      <c r="AM111" s="413"/>
      <c r="CM111" s="425"/>
    </row>
    <row r="112" spans="3:91" hidden="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89"/>
      <c r="L112" s="1690"/>
      <c r="M112" s="1691"/>
      <c r="N112" s="1189" cm="1">
        <f t="array" ref="N112">IF($E$20="Credera US",V112,SUMPRODUCT(('Rates &amp; Drop Downs INT'!$CG$6:$CG$747=$D112)*('Rates &amp; Drop Downs INT'!$CI$6:$CI$747=$F112)*('Rates &amp; Drop Downs INT'!$CK$6:$CK$747=$K112)*('Rates &amp; Drop Downs INT'!$CM$6:$CM$747)))</f>
        <v>0</v>
      </c>
      <c r="O112" s="1696"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7"/>
      <c r="Q112" s="1697"/>
      <c r="R112" s="1697"/>
      <c r="S112" s="1698"/>
      <c r="T112" s="1694"/>
      <c r="U112" s="1694"/>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68"/>
      <c r="AD112" s="1669"/>
      <c r="AE112" s="881"/>
      <c r="AF112" s="892"/>
      <c r="AH112" s="1727"/>
      <c r="AI112" s="1727"/>
      <c r="AJ112" s="413"/>
      <c r="AK112" s="413"/>
      <c r="AL112" s="413"/>
      <c r="AM112" s="413"/>
      <c r="CM112" s="425"/>
    </row>
    <row r="113" spans="3:91" hidden="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89"/>
      <c r="L113" s="1690"/>
      <c r="M113" s="1691"/>
      <c r="N113" s="1189" cm="1">
        <f t="array" ref="N113">IF($E$20="Credera US",V113,SUMPRODUCT(('Rates &amp; Drop Downs INT'!$CG$6:$CG$747=$D113)*('Rates &amp; Drop Downs INT'!$CI$6:$CI$747=$F113)*('Rates &amp; Drop Downs INT'!$CK$6:$CK$747=$K113)*('Rates &amp; Drop Downs INT'!$CM$6:$CM$747)))</f>
        <v>0</v>
      </c>
      <c r="O113" s="1696"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7"/>
      <c r="Q113" s="1697"/>
      <c r="R113" s="1697"/>
      <c r="S113" s="1698"/>
      <c r="T113" s="1694"/>
      <c r="U113" s="1694"/>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68"/>
      <c r="AD113" s="1669"/>
      <c r="AE113" s="881"/>
      <c r="AF113" s="892"/>
      <c r="AH113" s="1727"/>
      <c r="AI113" s="1727"/>
      <c r="AJ113" s="413"/>
      <c r="AK113" s="413"/>
      <c r="AL113" s="413"/>
      <c r="AM113" s="413"/>
      <c r="CM113" s="425"/>
    </row>
    <row r="114" spans="3:91" hidden="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9"/>
      <c r="L114" s="1690"/>
      <c r="M114" s="1691"/>
      <c r="N114" s="1189" cm="1">
        <f t="array" ref="N114">IF($E$20="Credera US",V114,SUMPRODUCT(('Rates &amp; Drop Downs INT'!$CG$6:$CG$747=$D114)*('Rates &amp; Drop Downs INT'!$CI$6:$CI$747=$F114)*('Rates &amp; Drop Downs INT'!$CK$6:$CK$747=$K114)*('Rates &amp; Drop Downs INT'!$CM$6:$CM$747)))</f>
        <v>0</v>
      </c>
      <c r="O114" s="1696"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7"/>
      <c r="Q114" s="1697"/>
      <c r="R114" s="1697"/>
      <c r="S114" s="1698"/>
      <c r="T114" s="1694"/>
      <c r="U114" s="1694"/>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8"/>
      <c r="AD114" s="1669"/>
      <c r="AE114" s="881"/>
      <c r="AF114" s="892"/>
      <c r="AH114" s="1727"/>
      <c r="AI114" s="1727"/>
      <c r="AJ114" s="413"/>
      <c r="AK114" s="413"/>
      <c r="AL114" s="413"/>
      <c r="AM114" s="413"/>
      <c r="CM114" s="425"/>
    </row>
    <row r="115" spans="3:91" hidden="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9"/>
      <c r="L115" s="1690"/>
      <c r="M115" s="1691"/>
      <c r="N115" s="1189" cm="1">
        <f t="array" ref="N115">IF($E$20="Credera US",V115,SUMPRODUCT(('Rates &amp; Drop Downs INT'!$CG$6:$CG$747=$D115)*('Rates &amp; Drop Downs INT'!$CI$6:$CI$747=$F115)*('Rates &amp; Drop Downs INT'!$CK$6:$CK$747=$K115)*('Rates &amp; Drop Downs INT'!$CM$6:$CM$747)))</f>
        <v>0</v>
      </c>
      <c r="O115" s="1696"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7"/>
      <c r="Q115" s="1697"/>
      <c r="R115" s="1697"/>
      <c r="S115" s="1698"/>
      <c r="T115" s="1694"/>
      <c r="U115" s="1694"/>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8"/>
      <c r="AD115" s="1669"/>
      <c r="AE115" s="881"/>
      <c r="AF115" s="892"/>
      <c r="AH115" s="1727"/>
      <c r="AI115" s="1727"/>
      <c r="AJ115" s="413"/>
      <c r="AK115" s="413"/>
      <c r="AL115" s="413"/>
      <c r="AM115" s="413"/>
      <c r="CM115" s="425"/>
    </row>
    <row r="116" spans="3:91" hidden="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9"/>
      <c r="L116" s="1690"/>
      <c r="M116" s="1691"/>
      <c r="N116" s="1189" cm="1">
        <f t="array" ref="N116">IF($E$20="Credera US",V116,SUMPRODUCT(('Rates &amp; Drop Downs INT'!$CG$6:$CG$747=$D116)*('Rates &amp; Drop Downs INT'!$CI$6:$CI$747=$F116)*('Rates &amp; Drop Downs INT'!$CK$6:$CK$747=$K116)*('Rates &amp; Drop Downs INT'!$CM$6:$CM$747)))</f>
        <v>0</v>
      </c>
      <c r="O116" s="1696"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7"/>
      <c r="Q116" s="1697"/>
      <c r="R116" s="1697"/>
      <c r="S116" s="1698"/>
      <c r="T116" s="1694"/>
      <c r="U116" s="1694"/>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8"/>
      <c r="AD116" s="1669"/>
      <c r="AE116" s="881"/>
      <c r="AF116" s="892"/>
      <c r="AH116" s="1727"/>
      <c r="AI116" s="1727"/>
      <c r="AJ116" s="413"/>
      <c r="AK116" s="413"/>
      <c r="AL116" s="413"/>
      <c r="AM116" s="413"/>
      <c r="CM116" s="425"/>
    </row>
    <row r="117" spans="3:91" hidden="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9"/>
      <c r="L117" s="1690"/>
      <c r="M117" s="1691"/>
      <c r="N117" s="1189" cm="1">
        <f t="array" ref="N117">IF($E$20="Credera US",V117,SUMPRODUCT(('Rates &amp; Drop Downs INT'!$CG$6:$CG$747=$D117)*('Rates &amp; Drop Downs INT'!$CI$6:$CI$747=$F117)*('Rates &amp; Drop Downs INT'!$CK$6:$CK$747=$K117)*('Rates &amp; Drop Downs INT'!$CM$6:$CM$747)))</f>
        <v>0</v>
      </c>
      <c r="O117" s="1696"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7"/>
      <c r="Q117" s="1697"/>
      <c r="R117" s="1697"/>
      <c r="S117" s="1698"/>
      <c r="T117" s="1694"/>
      <c r="U117" s="1694"/>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8"/>
      <c r="AD117" s="1669"/>
      <c r="AE117" s="881"/>
      <c r="AF117" s="892"/>
      <c r="AH117" s="1727"/>
      <c r="AI117" s="1727"/>
      <c r="AJ117" s="413"/>
      <c r="AK117" s="413"/>
      <c r="AL117" s="413"/>
      <c r="AM117" s="413"/>
      <c r="CM117" s="425"/>
    </row>
    <row r="118" spans="3:91" hidden="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9"/>
      <c r="L118" s="1690"/>
      <c r="M118" s="1691"/>
      <c r="N118" s="1189" cm="1">
        <f t="array" ref="N118">IF($E$20="Credera US",V118,SUMPRODUCT(('Rates &amp; Drop Downs INT'!$CG$6:$CG$747=$D118)*('Rates &amp; Drop Downs INT'!$CI$6:$CI$747=$F118)*('Rates &amp; Drop Downs INT'!$CK$6:$CK$747=$K118)*('Rates &amp; Drop Downs INT'!$CM$6:$CM$747)))</f>
        <v>0</v>
      </c>
      <c r="O118" s="1696"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7"/>
      <c r="Q118" s="1697"/>
      <c r="R118" s="1697"/>
      <c r="S118" s="1698"/>
      <c r="T118" s="1694"/>
      <c r="U118" s="1694"/>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8"/>
      <c r="AD118" s="1669"/>
      <c r="AE118" s="881"/>
      <c r="AF118" s="892"/>
      <c r="AH118" s="1727"/>
      <c r="AI118" s="1727"/>
      <c r="AJ118" s="413"/>
      <c r="AK118" s="413"/>
      <c r="AL118" s="413"/>
      <c r="AM118" s="413"/>
      <c r="CM118" s="425"/>
    </row>
    <row r="119" spans="3:91" hidden="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9"/>
      <c r="L119" s="1690"/>
      <c r="M119" s="1691"/>
      <c r="N119" s="1189" cm="1">
        <f t="array" ref="N119">IF($E$20="Credera US",V119,SUMPRODUCT(('Rates &amp; Drop Downs INT'!$CG$6:$CG$747=$D119)*('Rates &amp; Drop Downs INT'!$CI$6:$CI$747=$F119)*('Rates &amp; Drop Downs INT'!$CK$6:$CK$747=$K119)*('Rates &amp; Drop Downs INT'!$CM$6:$CM$747)))</f>
        <v>0</v>
      </c>
      <c r="O119" s="1696"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7"/>
      <c r="Q119" s="1697"/>
      <c r="R119" s="1697"/>
      <c r="S119" s="1698"/>
      <c r="T119" s="1694"/>
      <c r="U119" s="1694"/>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8"/>
      <c r="AD119" s="1669"/>
      <c r="AE119" s="881"/>
      <c r="AF119" s="892"/>
      <c r="AH119" s="1727"/>
      <c r="AI119" s="1727"/>
      <c r="AJ119" s="413"/>
      <c r="AK119" s="413"/>
      <c r="AL119" s="413"/>
      <c r="AM119" s="413"/>
      <c r="CM119" s="425"/>
    </row>
    <row r="120" spans="3:91" hidden="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9"/>
      <c r="L120" s="1690"/>
      <c r="M120" s="1691"/>
      <c r="N120" s="1189" cm="1">
        <f t="array" ref="N120">IF($E$20="Credera US",V120,SUMPRODUCT(('Rates &amp; Drop Downs INT'!$CG$6:$CG$747=$D120)*('Rates &amp; Drop Downs INT'!$CI$6:$CI$747=$F120)*('Rates &amp; Drop Downs INT'!$CK$6:$CK$747=$K120)*('Rates &amp; Drop Downs INT'!$CM$6:$CM$747)))</f>
        <v>0</v>
      </c>
      <c r="O120" s="1696"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7"/>
      <c r="Q120" s="1697"/>
      <c r="R120" s="1697"/>
      <c r="S120" s="1698"/>
      <c r="T120" s="1694"/>
      <c r="U120" s="1694"/>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8"/>
      <c r="AD120" s="1669"/>
      <c r="AE120" s="881"/>
      <c r="AF120" s="892"/>
      <c r="AH120" s="1727"/>
      <c r="AI120" s="1727"/>
      <c r="AJ120" s="413"/>
      <c r="AK120" s="413"/>
      <c r="AL120" s="413"/>
      <c r="AM120" s="413"/>
      <c r="CM120" s="425"/>
    </row>
    <row r="121" spans="3:91" hidden="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9"/>
      <c r="L121" s="1690"/>
      <c r="M121" s="1691"/>
      <c r="N121" s="1189" cm="1">
        <f t="array" ref="N121">IF($E$20="Credera US",V121,SUMPRODUCT(('Rates &amp; Drop Downs INT'!$CG$6:$CG$747=$D121)*('Rates &amp; Drop Downs INT'!$CI$6:$CI$747=$F121)*('Rates &amp; Drop Downs INT'!$CK$6:$CK$747=$K121)*('Rates &amp; Drop Downs INT'!$CM$6:$CM$747)))</f>
        <v>0</v>
      </c>
      <c r="O121" s="1696"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7"/>
      <c r="Q121" s="1697"/>
      <c r="R121" s="1697"/>
      <c r="S121" s="1698"/>
      <c r="T121" s="1694"/>
      <c r="U121" s="1694"/>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8"/>
      <c r="AD121" s="1669"/>
      <c r="AE121" s="881"/>
      <c r="AF121" s="892"/>
      <c r="AH121" s="1727"/>
      <c r="AI121" s="1727"/>
      <c r="AJ121" s="413"/>
      <c r="AK121" s="413"/>
      <c r="AL121" s="413"/>
      <c r="AM121" s="413"/>
      <c r="CM121" s="425"/>
    </row>
    <row r="122" spans="3:91" hidden="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9"/>
      <c r="L122" s="1690"/>
      <c r="M122" s="1691"/>
      <c r="N122" s="1189" cm="1">
        <f t="array" ref="N122">IF($E$20="Credera US",V122,SUMPRODUCT(('Rates &amp; Drop Downs INT'!$CG$6:$CG$747=$D122)*('Rates &amp; Drop Downs INT'!$CI$6:$CI$747=$F122)*('Rates &amp; Drop Downs INT'!$CK$6:$CK$747=$K122)*('Rates &amp; Drop Downs INT'!$CM$6:$CM$747)))</f>
        <v>0</v>
      </c>
      <c r="O122" s="1696"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7"/>
      <c r="Q122" s="1697"/>
      <c r="R122" s="1697"/>
      <c r="S122" s="1698"/>
      <c r="T122" s="1694"/>
      <c r="U122" s="1694"/>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8"/>
      <c r="AD122" s="1669"/>
      <c r="AE122" s="881"/>
      <c r="AF122" s="892"/>
      <c r="AH122" s="1727"/>
      <c r="AI122" s="1727"/>
      <c r="AJ122" s="413"/>
      <c r="AK122" s="413"/>
      <c r="AL122" s="413"/>
      <c r="AM122" s="413"/>
      <c r="CM122" s="425"/>
    </row>
    <row r="123" spans="3:91" hidden="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9"/>
      <c r="L123" s="1690"/>
      <c r="M123" s="1691"/>
      <c r="N123" s="1189" cm="1">
        <f t="array" ref="N123">IF($E$20="Credera US",V123,SUMPRODUCT(('Rates &amp; Drop Downs INT'!$CG$6:$CG$747=$D123)*('Rates &amp; Drop Downs INT'!$CI$6:$CI$747=$F123)*('Rates &amp; Drop Downs INT'!$CK$6:$CK$747=$K123)*('Rates &amp; Drop Downs INT'!$CM$6:$CM$747)))</f>
        <v>0</v>
      </c>
      <c r="O123" s="1696"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7"/>
      <c r="Q123" s="1697"/>
      <c r="R123" s="1697"/>
      <c r="S123" s="1698"/>
      <c r="T123" s="1694"/>
      <c r="U123" s="1694"/>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8"/>
      <c r="AD123" s="1669"/>
      <c r="AE123" s="881"/>
      <c r="AF123" s="892"/>
      <c r="AH123" s="1727"/>
      <c r="AI123" s="1727"/>
      <c r="AJ123" s="413"/>
      <c r="AK123" s="413"/>
      <c r="AL123" s="413"/>
      <c r="AM123" s="413"/>
      <c r="CM123" s="425"/>
    </row>
    <row r="124" spans="3:91" hidden="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9"/>
      <c r="L124" s="1690"/>
      <c r="M124" s="1691"/>
      <c r="N124" s="1189" cm="1">
        <f t="array" ref="N124">IF($E$20="Credera US",V124,SUMPRODUCT(('Rates &amp; Drop Downs INT'!$CG$6:$CG$747=$D124)*('Rates &amp; Drop Downs INT'!$CI$6:$CI$747=$F124)*('Rates &amp; Drop Downs INT'!$CK$6:$CK$747=$K124)*('Rates &amp; Drop Downs INT'!$CM$6:$CM$747)))</f>
        <v>0</v>
      </c>
      <c r="O124" s="1696"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7"/>
      <c r="Q124" s="1697"/>
      <c r="R124" s="1697"/>
      <c r="S124" s="1698"/>
      <c r="T124" s="1694"/>
      <c r="U124" s="1694"/>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68"/>
      <c r="AD124" s="1669"/>
      <c r="AE124" s="881"/>
      <c r="AF124" s="892"/>
      <c r="AH124" s="1727"/>
      <c r="AI124" s="1727"/>
      <c r="AJ124" s="413"/>
      <c r="AK124" s="413"/>
      <c r="AL124" s="413"/>
      <c r="AM124" s="413"/>
      <c r="CM124" s="425"/>
    </row>
    <row r="125" spans="3:91" hidden="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9"/>
      <c r="L125" s="1690"/>
      <c r="M125" s="1691"/>
      <c r="N125" s="1189" cm="1">
        <f t="array" ref="N125">IF($E$20="Credera US",V125,SUMPRODUCT(('Rates &amp; Drop Downs INT'!$CG$6:$CG$747=$D125)*('Rates &amp; Drop Downs INT'!$CI$6:$CI$747=$F125)*('Rates &amp; Drop Downs INT'!$CK$6:$CK$747=$K125)*('Rates &amp; Drop Downs INT'!$CM$6:$CM$747)))</f>
        <v>0</v>
      </c>
      <c r="O125" s="1696"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7"/>
      <c r="Q125" s="1697"/>
      <c r="R125" s="1697"/>
      <c r="S125" s="1698"/>
      <c r="T125" s="1694"/>
      <c r="U125" s="1694"/>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68"/>
      <c r="AD125" s="1669"/>
      <c r="AE125" s="881"/>
      <c r="AF125" s="892"/>
      <c r="AH125" s="1727"/>
      <c r="AI125" s="1727"/>
      <c r="AJ125" s="413"/>
      <c r="AK125" s="413"/>
      <c r="AL125" s="413"/>
      <c r="AM125" s="413"/>
      <c r="CM125" s="425"/>
    </row>
    <row r="126" spans="3:91" hidden="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9"/>
      <c r="L126" s="1690"/>
      <c r="M126" s="1691"/>
      <c r="N126" s="1189" cm="1">
        <f t="array" ref="N126">IF($E$20="Credera US",V126,SUMPRODUCT(('Rates &amp; Drop Downs INT'!$CG$6:$CG$747=$D126)*('Rates &amp; Drop Downs INT'!$CI$6:$CI$747=$F126)*('Rates &amp; Drop Downs INT'!$CK$6:$CK$747=$K126)*('Rates &amp; Drop Downs INT'!$CM$6:$CM$747)))</f>
        <v>0</v>
      </c>
      <c r="O126" s="1696"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7"/>
      <c r="Q126" s="1697"/>
      <c r="R126" s="1697"/>
      <c r="S126" s="1698"/>
      <c r="T126" s="1694"/>
      <c r="U126" s="1694"/>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68"/>
      <c r="AD126" s="1669"/>
      <c r="AE126" s="881"/>
      <c r="AF126" s="892"/>
      <c r="AH126" s="1727"/>
      <c r="AI126" s="1727"/>
      <c r="AJ126" s="413"/>
      <c r="AK126" s="413"/>
      <c r="AL126" s="413"/>
      <c r="AM126" s="413"/>
      <c r="CM126" s="425"/>
    </row>
    <row r="127" spans="3:91" hidden="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9"/>
      <c r="L127" s="1690"/>
      <c r="M127" s="1691"/>
      <c r="N127" s="1189" cm="1">
        <f t="array" ref="N127">IF($E$20="Credera US",V127,SUMPRODUCT(('Rates &amp; Drop Downs INT'!$CG$6:$CG$747=$D127)*('Rates &amp; Drop Downs INT'!$CI$6:$CI$747=$F127)*('Rates &amp; Drop Downs INT'!$CK$6:$CK$747=$K127)*('Rates &amp; Drop Downs INT'!$CM$6:$CM$747)))</f>
        <v>0</v>
      </c>
      <c r="O127" s="1696"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7"/>
      <c r="Q127" s="1697"/>
      <c r="R127" s="1697"/>
      <c r="S127" s="1698"/>
      <c r="T127" s="1694"/>
      <c r="U127" s="1694"/>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68"/>
      <c r="AD127" s="1669"/>
      <c r="AE127" s="881"/>
      <c r="AF127" s="892"/>
      <c r="AH127" s="1727"/>
      <c r="AI127" s="1727"/>
      <c r="AJ127" s="413"/>
      <c r="AK127" s="413"/>
      <c r="AL127" s="413"/>
      <c r="AM127" s="413"/>
      <c r="CM127" s="425"/>
    </row>
    <row r="128" spans="3:91" hidden="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9"/>
      <c r="L128" s="1690"/>
      <c r="M128" s="1691"/>
      <c r="N128" s="1189" cm="1">
        <f t="array" ref="N128">IF($E$20="Credera US",V128,SUMPRODUCT(('Rates &amp; Drop Downs INT'!$CG$6:$CG$747=$D128)*('Rates &amp; Drop Downs INT'!$CI$6:$CI$747=$F128)*('Rates &amp; Drop Downs INT'!$CK$6:$CK$747=$K128)*('Rates &amp; Drop Downs INT'!$CM$6:$CM$747)))</f>
        <v>0</v>
      </c>
      <c r="O128" s="1696"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7"/>
      <c r="Q128" s="1697"/>
      <c r="R128" s="1697"/>
      <c r="S128" s="1698"/>
      <c r="T128" s="1694"/>
      <c r="U128" s="1694"/>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68"/>
      <c r="AD128" s="1669"/>
      <c r="AE128" s="881"/>
      <c r="AF128" s="892"/>
      <c r="AH128" s="1727"/>
      <c r="AI128" s="1727"/>
      <c r="AJ128" s="413"/>
      <c r="AK128" s="413"/>
      <c r="AL128" s="413"/>
      <c r="AM128" s="413"/>
      <c r="CM128" s="425"/>
    </row>
    <row r="129" spans="3:91" hidden="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9"/>
      <c r="L129" s="1690"/>
      <c r="M129" s="1691"/>
      <c r="N129" s="1189" cm="1">
        <f t="array" ref="N129">IF($E$20="Credera US",V129,SUMPRODUCT(('Rates &amp; Drop Downs INT'!$CG$6:$CG$747=$D129)*('Rates &amp; Drop Downs INT'!$CI$6:$CI$747=$F129)*('Rates &amp; Drop Downs INT'!$CK$6:$CK$747=$K129)*('Rates &amp; Drop Downs INT'!$CM$6:$CM$747)))</f>
        <v>0</v>
      </c>
      <c r="O129" s="1696"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7"/>
      <c r="Q129" s="1697"/>
      <c r="R129" s="1697"/>
      <c r="S129" s="1698"/>
      <c r="T129" s="1694"/>
      <c r="U129" s="1694"/>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68"/>
      <c r="AD129" s="1669"/>
      <c r="AE129" s="881"/>
      <c r="AF129" s="892"/>
      <c r="AH129" s="1727"/>
      <c r="AI129" s="1727"/>
      <c r="AJ129" s="413"/>
      <c r="AK129" s="413"/>
      <c r="AL129" s="413"/>
      <c r="AM129" s="413"/>
      <c r="CM129" s="425"/>
    </row>
    <row r="130" spans="3:91" hidden="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9"/>
      <c r="L130" s="1690"/>
      <c r="M130" s="1691"/>
      <c r="N130" s="1189" cm="1">
        <f t="array" ref="N130">IF($E$20="Credera US",V130,SUMPRODUCT(('Rates &amp; Drop Downs INT'!$CG$6:$CG$747=$D130)*('Rates &amp; Drop Downs INT'!$CI$6:$CI$747=$F130)*('Rates &amp; Drop Downs INT'!$CK$6:$CK$747=$K130)*('Rates &amp; Drop Downs INT'!$CM$6:$CM$747)))</f>
        <v>0</v>
      </c>
      <c r="O130" s="1696"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7"/>
      <c r="Q130" s="1697"/>
      <c r="R130" s="1697"/>
      <c r="S130" s="1698"/>
      <c r="T130" s="1694"/>
      <c r="U130" s="1694"/>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68"/>
      <c r="AD130" s="1669"/>
      <c r="AE130" s="881"/>
      <c r="AF130" s="892"/>
      <c r="AH130" s="1727"/>
      <c r="AI130" s="1727"/>
      <c r="AJ130" s="413"/>
      <c r="AK130" s="413"/>
      <c r="AL130" s="413"/>
      <c r="AM130" s="413"/>
      <c r="CM130" s="425"/>
    </row>
    <row r="131" spans="3:91" hidden="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9"/>
      <c r="L131" s="1690"/>
      <c r="M131" s="1691"/>
      <c r="N131" s="1189" cm="1">
        <f t="array" ref="N131">IF($E$20="Credera US",V131,SUMPRODUCT(('Rates &amp; Drop Downs INT'!$CG$6:$CG$747=$D131)*('Rates &amp; Drop Downs INT'!$CI$6:$CI$747=$F131)*('Rates &amp; Drop Downs INT'!$CK$6:$CK$747=$K131)*('Rates &amp; Drop Downs INT'!$CM$6:$CM$747)))</f>
        <v>0</v>
      </c>
      <c r="O131" s="1696"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7"/>
      <c r="Q131" s="1697"/>
      <c r="R131" s="1697"/>
      <c r="S131" s="1698"/>
      <c r="T131" s="1694"/>
      <c r="U131" s="1694"/>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68"/>
      <c r="AD131" s="1669"/>
      <c r="AE131" s="881"/>
      <c r="AF131" s="892"/>
      <c r="AH131" s="1727"/>
      <c r="AI131" s="1727"/>
      <c r="AJ131" s="413"/>
      <c r="AK131" s="413"/>
      <c r="AL131" s="413"/>
      <c r="AM131" s="413"/>
      <c r="CM131" s="425"/>
    </row>
    <row r="132" spans="3:91" hidden="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9"/>
      <c r="L132" s="1690"/>
      <c r="M132" s="1691"/>
      <c r="N132" s="1189" cm="1">
        <f t="array" ref="N132">IF($E$20="Credera US",V132,SUMPRODUCT(('Rates &amp; Drop Downs INT'!$CG$6:$CG$747=$D132)*('Rates &amp; Drop Downs INT'!$CI$6:$CI$747=$F132)*('Rates &amp; Drop Downs INT'!$CK$6:$CK$747=$K132)*('Rates &amp; Drop Downs INT'!$CM$6:$CM$747)))</f>
        <v>0</v>
      </c>
      <c r="O132" s="1696"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7"/>
      <c r="Q132" s="1697"/>
      <c r="R132" s="1697"/>
      <c r="S132" s="1698"/>
      <c r="T132" s="1694"/>
      <c r="U132" s="1694"/>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8"/>
      <c r="AD132" s="1669"/>
      <c r="AE132" s="881"/>
      <c r="AF132" s="892"/>
      <c r="AH132" s="1727"/>
      <c r="AI132" s="1727"/>
      <c r="AJ132" s="413"/>
      <c r="AK132" s="413"/>
      <c r="AL132" s="413"/>
      <c r="AM132" s="413"/>
      <c r="CM132" s="425"/>
    </row>
    <row r="133" spans="3:91" hidden="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9"/>
      <c r="L133" s="1690"/>
      <c r="M133" s="1691"/>
      <c r="N133" s="1189" cm="1">
        <f t="array" ref="N133">IF($E$20="Credera US",V133,SUMPRODUCT(('Rates &amp; Drop Downs INT'!$CG$6:$CG$747=$D133)*('Rates &amp; Drop Downs INT'!$CI$6:$CI$747=$F133)*('Rates &amp; Drop Downs INT'!$CK$6:$CK$747=$K133)*('Rates &amp; Drop Downs INT'!$CM$6:$CM$747)))</f>
        <v>0</v>
      </c>
      <c r="O133" s="1696"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7"/>
      <c r="Q133" s="1697"/>
      <c r="R133" s="1697"/>
      <c r="S133" s="1698"/>
      <c r="T133" s="1694"/>
      <c r="U133" s="1694"/>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8"/>
      <c r="AD133" s="1669"/>
      <c r="AE133" s="881"/>
      <c r="AF133" s="892"/>
      <c r="AH133" s="1727"/>
      <c r="AI133" s="1727"/>
      <c r="AJ133" s="413"/>
      <c r="AK133" s="413"/>
      <c r="AL133" s="413"/>
      <c r="AM133" s="413"/>
      <c r="CM133" s="425"/>
    </row>
    <row r="134" spans="3:91" hidden="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9"/>
      <c r="L134" s="1690"/>
      <c r="M134" s="1691"/>
      <c r="N134" s="1189" cm="1">
        <f t="array" ref="N134">IF($E$20="Credera US",V134,SUMPRODUCT(('Rates &amp; Drop Downs INT'!$CG$6:$CG$747=$D134)*('Rates &amp; Drop Downs INT'!$CI$6:$CI$747=$F134)*('Rates &amp; Drop Downs INT'!$CK$6:$CK$747=$K134)*('Rates &amp; Drop Downs INT'!$CM$6:$CM$747)))</f>
        <v>0</v>
      </c>
      <c r="O134" s="1696"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7"/>
      <c r="Q134" s="1697"/>
      <c r="R134" s="1697"/>
      <c r="S134" s="1698"/>
      <c r="T134" s="1694"/>
      <c r="U134" s="1694"/>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8"/>
      <c r="AD134" s="1669"/>
      <c r="AE134" s="881"/>
      <c r="AF134" s="892"/>
      <c r="AH134" s="1727"/>
      <c r="AI134" s="1727"/>
      <c r="AJ134" s="413"/>
      <c r="AK134" s="413"/>
      <c r="AL134" s="413"/>
      <c r="AM134" s="413"/>
      <c r="CM134" s="425"/>
    </row>
    <row r="135" spans="3:91" hidden="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9"/>
      <c r="L135" s="1690"/>
      <c r="M135" s="1691"/>
      <c r="N135" s="1189" cm="1">
        <f t="array" ref="N135">IF($E$20="Credera US",V135,SUMPRODUCT(('Rates &amp; Drop Downs INT'!$CG$6:$CG$747=$D135)*('Rates &amp; Drop Downs INT'!$CI$6:$CI$747=$F135)*('Rates &amp; Drop Downs INT'!$CK$6:$CK$747=$K135)*('Rates &amp; Drop Downs INT'!$CM$6:$CM$747)))</f>
        <v>0</v>
      </c>
      <c r="O135" s="1696"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7"/>
      <c r="Q135" s="1697"/>
      <c r="R135" s="1697"/>
      <c r="S135" s="1698"/>
      <c r="T135" s="1694"/>
      <c r="U135" s="1694"/>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8"/>
      <c r="AD135" s="1669"/>
      <c r="AE135" s="881"/>
      <c r="AF135" s="892"/>
      <c r="AH135" s="1727"/>
      <c r="AI135" s="1727"/>
      <c r="AJ135" s="413"/>
      <c r="AK135" s="413"/>
      <c r="AL135" s="413"/>
      <c r="AM135" s="413"/>
      <c r="CM135" s="425"/>
    </row>
    <row r="136" spans="3:91" hidden="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9"/>
      <c r="L136" s="1690"/>
      <c r="M136" s="1691"/>
      <c r="N136" s="1189" cm="1">
        <f t="array" ref="N136">IF($E$20="Credera US",V136,SUMPRODUCT(('Rates &amp; Drop Downs INT'!$CG$6:$CG$747=$D136)*('Rates &amp; Drop Downs INT'!$CI$6:$CI$747=$F136)*('Rates &amp; Drop Downs INT'!$CK$6:$CK$747=$K136)*('Rates &amp; Drop Downs INT'!$CM$6:$CM$747)))</f>
        <v>0</v>
      </c>
      <c r="O136" s="1696"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7"/>
      <c r="Q136" s="1697"/>
      <c r="R136" s="1697"/>
      <c r="S136" s="1698"/>
      <c r="T136" s="1694"/>
      <c r="U136" s="1694"/>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8"/>
      <c r="AD136" s="1669"/>
      <c r="AE136" s="881"/>
      <c r="AF136" s="892"/>
      <c r="AH136" s="1727"/>
      <c r="AI136" s="1727"/>
      <c r="AJ136" s="413"/>
      <c r="AK136" s="413"/>
      <c r="AL136" s="413"/>
      <c r="AM136" s="413"/>
      <c r="CM136" s="425"/>
    </row>
    <row r="137" spans="3:91" hidden="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9"/>
      <c r="L137" s="1690"/>
      <c r="M137" s="1691"/>
      <c r="N137" s="1189" cm="1">
        <f t="array" ref="N137">IF($E$20="Credera US",V137,SUMPRODUCT(('Rates &amp; Drop Downs INT'!$CG$6:$CG$747=$D137)*('Rates &amp; Drop Downs INT'!$CI$6:$CI$747=$F137)*('Rates &amp; Drop Downs INT'!$CK$6:$CK$747=$K137)*('Rates &amp; Drop Downs INT'!$CM$6:$CM$747)))</f>
        <v>0</v>
      </c>
      <c r="O137" s="1696"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7"/>
      <c r="Q137" s="1697"/>
      <c r="R137" s="1697"/>
      <c r="S137" s="1698"/>
      <c r="T137" s="1694"/>
      <c r="U137" s="1694"/>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8"/>
      <c r="AD137" s="1669"/>
      <c r="AE137" s="881"/>
      <c r="AF137" s="892"/>
      <c r="AH137" s="1727"/>
      <c r="AI137" s="1727"/>
      <c r="AJ137" s="413"/>
      <c r="AK137" s="413"/>
      <c r="AL137" s="413"/>
      <c r="AM137" s="413"/>
      <c r="CM137" s="425"/>
    </row>
    <row r="138" spans="3:91" hidden="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9"/>
      <c r="L138" s="1690"/>
      <c r="M138" s="1691"/>
      <c r="N138" s="1189" cm="1">
        <f t="array" ref="N138">IF($E$20="Credera US",V138,SUMPRODUCT(('Rates &amp; Drop Downs INT'!$CG$6:$CG$747=$D138)*('Rates &amp; Drop Downs INT'!$CI$6:$CI$747=$F138)*('Rates &amp; Drop Downs INT'!$CK$6:$CK$747=$K138)*('Rates &amp; Drop Downs INT'!$CM$6:$CM$747)))</f>
        <v>0</v>
      </c>
      <c r="O138" s="1696"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7"/>
      <c r="Q138" s="1697"/>
      <c r="R138" s="1697"/>
      <c r="S138" s="1698"/>
      <c r="T138" s="1694"/>
      <c r="U138" s="1694"/>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8"/>
      <c r="AD138" s="1669"/>
      <c r="AE138" s="881"/>
      <c r="AF138" s="892"/>
      <c r="AH138" s="1727"/>
      <c r="AI138" s="1727"/>
      <c r="AJ138" s="413"/>
      <c r="AK138" s="413"/>
      <c r="AL138" s="413"/>
      <c r="AM138" s="413"/>
      <c r="CM138" s="425"/>
    </row>
    <row r="139" spans="3:91" hidden="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9"/>
      <c r="L139" s="1690"/>
      <c r="M139" s="1691"/>
      <c r="N139" s="1189" cm="1">
        <f t="array" ref="N139">IF($E$20="Credera US",V139,SUMPRODUCT(('Rates &amp; Drop Downs INT'!$CG$6:$CG$747=$D139)*('Rates &amp; Drop Downs INT'!$CI$6:$CI$747=$F139)*('Rates &amp; Drop Downs INT'!$CK$6:$CK$747=$K139)*('Rates &amp; Drop Downs INT'!$CM$6:$CM$747)))</f>
        <v>0</v>
      </c>
      <c r="O139" s="1696"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7"/>
      <c r="Q139" s="1697"/>
      <c r="R139" s="1697"/>
      <c r="S139" s="1698"/>
      <c r="T139" s="1694"/>
      <c r="U139" s="1694"/>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8"/>
      <c r="AD139" s="1669"/>
      <c r="AE139" s="881"/>
      <c r="AF139" s="892"/>
      <c r="AH139" s="1727"/>
      <c r="AI139" s="1727"/>
      <c r="AJ139" s="413"/>
      <c r="AK139" s="413"/>
      <c r="AL139" s="413"/>
      <c r="AM139" s="413"/>
      <c r="CM139" s="425"/>
    </row>
    <row r="140" spans="3:91" hidden="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89"/>
      <c r="L140" s="1690"/>
      <c r="M140" s="1691"/>
      <c r="N140" s="1189" cm="1">
        <f t="array" ref="N140">IF($E$20="Credera US",V140,SUMPRODUCT(('Rates &amp; Drop Downs INT'!$CG$6:$CG$747=$D140)*('Rates &amp; Drop Downs INT'!$CI$6:$CI$747=$F140)*('Rates &amp; Drop Downs INT'!$CK$6:$CK$747=$K140)*('Rates &amp; Drop Downs INT'!$CM$6:$CM$747)))</f>
        <v>0</v>
      </c>
      <c r="O140" s="1696"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697"/>
      <c r="Q140" s="1697"/>
      <c r="R140" s="1697"/>
      <c r="S140" s="1698"/>
      <c r="T140" s="1694"/>
      <c r="U140" s="1694"/>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68"/>
      <c r="AD140" s="1669"/>
      <c r="AE140" s="881"/>
      <c r="AF140" s="892"/>
      <c r="AH140" s="1727"/>
      <c r="AI140" s="1727"/>
      <c r="AJ140" s="413"/>
      <c r="AK140" s="413"/>
      <c r="AL140" s="413"/>
      <c r="AM140" s="413"/>
      <c r="CM140" s="425"/>
    </row>
    <row r="141" spans="3:91" hidden="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89"/>
      <c r="L141" s="1690"/>
      <c r="M141" s="1691"/>
      <c r="N141" s="1189" cm="1">
        <f t="array" ref="N141">IF($E$20="Credera US",V141,SUMPRODUCT(('Rates &amp; Drop Downs INT'!$CG$6:$CG$747=$D141)*('Rates &amp; Drop Downs INT'!$CI$6:$CI$747=$F141)*('Rates &amp; Drop Downs INT'!$CK$6:$CK$747=$K141)*('Rates &amp; Drop Downs INT'!$CM$6:$CM$747)))</f>
        <v>0</v>
      </c>
      <c r="O141" s="1696"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1697"/>
      <c r="Q141" s="1697"/>
      <c r="R141" s="1697"/>
      <c r="S141" s="1698"/>
      <c r="T141" s="1694"/>
      <c r="U141" s="1694"/>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68"/>
      <c r="AD141" s="1669"/>
      <c r="AE141" s="881"/>
      <c r="AF141" s="892"/>
      <c r="AH141" s="1727"/>
      <c r="AI141" s="1727"/>
      <c r="AJ141" s="413"/>
      <c r="AK141" s="413"/>
      <c r="AL141" s="413"/>
      <c r="AM141" s="413"/>
      <c r="CM141" s="425"/>
    </row>
    <row r="142" spans="3:91" hidden="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89"/>
      <c r="L142" s="1690"/>
      <c r="M142" s="1691"/>
      <c r="N142" s="1189" cm="1">
        <f t="array" ref="N142">IF($E$20="Credera US",V142,SUMPRODUCT(('Rates &amp; Drop Downs INT'!$CG$6:$CG$747=$D142)*('Rates &amp; Drop Downs INT'!$CI$6:$CI$747=$F142)*('Rates &amp; Drop Downs INT'!$CK$6:$CK$747=$K142)*('Rates &amp; Drop Downs INT'!$CM$6:$CM$747)))</f>
        <v>0</v>
      </c>
      <c r="O142" s="1696"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1697"/>
      <c r="Q142" s="1697"/>
      <c r="R142" s="1697"/>
      <c r="S142" s="1698"/>
      <c r="T142" s="1694"/>
      <c r="U142" s="1694"/>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68"/>
      <c r="AD142" s="1669"/>
      <c r="AE142" s="881"/>
      <c r="AF142" s="892"/>
      <c r="AH142" s="1727"/>
      <c r="AI142" s="1727"/>
      <c r="AJ142" s="413"/>
      <c r="AK142" s="413"/>
      <c r="AL142" s="413"/>
      <c r="AM142" s="413"/>
      <c r="CM142" s="425"/>
    </row>
    <row r="143" spans="3:91" hidden="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89"/>
      <c r="L143" s="1690"/>
      <c r="M143" s="1691"/>
      <c r="N143" s="1189" cm="1">
        <f t="array" ref="N143">IF($E$20="Credera US",V143,SUMPRODUCT(('Rates &amp; Drop Downs INT'!$CG$6:$CG$747=$D143)*('Rates &amp; Drop Downs INT'!$CI$6:$CI$747=$F143)*('Rates &amp; Drop Downs INT'!$CK$6:$CK$747=$K143)*('Rates &amp; Drop Downs INT'!$CM$6:$CM$747)))</f>
        <v>0</v>
      </c>
      <c r="O143" s="1696"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1697"/>
      <c r="Q143" s="1697"/>
      <c r="R143" s="1697"/>
      <c r="S143" s="1698"/>
      <c r="T143" s="1694"/>
      <c r="U143" s="1694"/>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68"/>
      <c r="AD143" s="1669"/>
      <c r="AE143" s="881"/>
      <c r="AF143" s="892"/>
      <c r="AH143" s="1727"/>
      <c r="AI143" s="1727"/>
      <c r="AJ143" s="413"/>
      <c r="AK143" s="413"/>
      <c r="AL143" s="413"/>
      <c r="AM143" s="413"/>
      <c r="CM143" s="425"/>
    </row>
    <row r="144" spans="3:91" hidden="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89"/>
      <c r="L144" s="1690"/>
      <c r="M144" s="1691"/>
      <c r="N144" s="1189" cm="1">
        <f t="array" ref="N144">IF($E$20="Credera US",V144,SUMPRODUCT(('Rates &amp; Drop Downs INT'!$CG$6:$CG$747=$D144)*('Rates &amp; Drop Downs INT'!$CI$6:$CI$747=$F144)*('Rates &amp; Drop Downs INT'!$CK$6:$CK$747=$K144)*('Rates &amp; Drop Downs INT'!$CM$6:$CM$747)))</f>
        <v>0</v>
      </c>
      <c r="O144" s="1696"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1697"/>
      <c r="Q144" s="1697"/>
      <c r="R144" s="1697"/>
      <c r="S144" s="1698"/>
      <c r="T144" s="1694"/>
      <c r="U144" s="1694"/>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68"/>
      <c r="AD144" s="1669"/>
      <c r="AE144" s="881"/>
      <c r="AF144" s="892"/>
      <c r="AH144" s="1727"/>
      <c r="AI144" s="1727"/>
      <c r="AJ144" s="413"/>
      <c r="AK144" s="413"/>
      <c r="AL144" s="413"/>
      <c r="AM144" s="413"/>
      <c r="CM144" s="425"/>
    </row>
    <row r="145" spans="1:97" hidden="1"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89"/>
      <c r="L145" s="1690"/>
      <c r="M145" s="1691"/>
      <c r="N145" s="1189" cm="1">
        <f t="array" ref="N145">IF($E$20="Credera US",V145,SUMPRODUCT(('Rates &amp; Drop Downs INT'!$CG$6:$CG$747=$D145)*('Rates &amp; Drop Downs INT'!$CI$6:$CI$747=$F145)*('Rates &amp; Drop Downs INT'!$CK$6:$CK$747=$K145)*('Rates &amp; Drop Downs INT'!$CM$6:$CM$747)))</f>
        <v>0</v>
      </c>
      <c r="O145" s="1696"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1697"/>
      <c r="Q145" s="1697"/>
      <c r="R145" s="1697"/>
      <c r="S145" s="1698"/>
      <c r="T145" s="1694"/>
      <c r="U145" s="1694"/>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68"/>
      <c r="AD145" s="1669"/>
      <c r="AE145" s="881"/>
      <c r="AF145" s="892"/>
      <c r="AH145" s="1727"/>
      <c r="AI145" s="1727"/>
      <c r="AJ145" s="413"/>
      <c r="AK145" s="413"/>
      <c r="AL145" s="413"/>
      <c r="AM145" s="413"/>
      <c r="CM145" s="425"/>
    </row>
    <row r="146" spans="1:97" hidden="1"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89"/>
      <c r="L146" s="1690"/>
      <c r="M146" s="1691"/>
      <c r="N146" s="1189" cm="1">
        <f t="array" ref="N146">IF($E$20="Credera US",V146,SUMPRODUCT(('Rates &amp; Drop Downs INT'!$CG$6:$CG$747=$D146)*('Rates &amp; Drop Downs INT'!$CI$6:$CI$747=$F146)*('Rates &amp; Drop Downs INT'!$CK$6:$CK$747=$K146)*('Rates &amp; Drop Downs INT'!$CM$6:$CM$747)))</f>
        <v>0</v>
      </c>
      <c r="O146" s="1696"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1697"/>
      <c r="Q146" s="1697"/>
      <c r="R146" s="1697"/>
      <c r="S146" s="1698"/>
      <c r="T146" s="1694"/>
      <c r="U146" s="1694"/>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68"/>
      <c r="AD146" s="1669"/>
      <c r="AE146" s="881"/>
      <c r="AF146" s="892"/>
      <c r="AH146" s="1727"/>
      <c r="AI146" s="1727"/>
      <c r="AJ146" s="413"/>
      <c r="AK146" s="413"/>
      <c r="AL146" s="413"/>
      <c r="AM146" s="413"/>
      <c r="CM146" s="425"/>
    </row>
    <row r="147" spans="1:97" hidden="1"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89"/>
      <c r="L147" s="1690"/>
      <c r="M147" s="1691"/>
      <c r="N147" s="1194" cm="1">
        <f t="array" ref="N147">IF($E$20="Credera US",V147,SUMPRODUCT(('Rates &amp; Drop Downs INT'!$CG$6:$CG$747=$D147)*('Rates &amp; Drop Downs INT'!$CI$6:$CI$747=$F147)*('Rates &amp; Drop Downs INT'!$CK$6:$CK$747=$K147)*('Rates &amp; Drop Downs INT'!$CM$6:$CM$747)))</f>
        <v>0</v>
      </c>
      <c r="O147" s="1734"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1735"/>
      <c r="Q147" s="1735"/>
      <c r="R147" s="1735"/>
      <c r="S147" s="1736"/>
      <c r="T147" s="1695"/>
      <c r="U147" s="1695"/>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70"/>
      <c r="AD147" s="1671"/>
      <c r="AE147" s="894"/>
      <c r="AF147" s="895"/>
      <c r="AH147" s="1727"/>
      <c r="AI147" s="1727"/>
      <c r="AJ147" s="413"/>
      <c r="AK147" s="413"/>
      <c r="AL147" s="413"/>
      <c r="AM147" s="413"/>
      <c r="CM147" s="425"/>
    </row>
    <row r="148" spans="1:97" s="406" customFormat="1" collapsed="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32" t="s">
        <v>3233</v>
      </c>
      <c r="D151" s="1732"/>
      <c r="E151" s="1732"/>
      <c r="F151" s="1732"/>
      <c r="G151" s="1732"/>
      <c r="H151" s="1733"/>
      <c r="I151" s="1732"/>
      <c r="J151" s="1732"/>
      <c r="K151" s="1732"/>
      <c r="L151" s="1732"/>
      <c r="M151" s="1732"/>
      <c r="N151" s="1732"/>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67" t="s">
        <v>3581</v>
      </c>
      <c r="D152" s="1667"/>
      <c r="E152" s="1667"/>
      <c r="F152" s="1667"/>
      <c r="G152" s="1667"/>
      <c r="H152" s="1667"/>
      <c r="I152" s="1667"/>
      <c r="J152" s="1667"/>
      <c r="K152" s="1667"/>
      <c r="L152" s="1667"/>
      <c r="M152" s="1667"/>
      <c r="N152" s="1667"/>
      <c r="O152" s="1667"/>
      <c r="P152" s="1667"/>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92" t="s">
        <v>2318</v>
      </c>
      <c r="D154" s="1692"/>
      <c r="E154" s="1692"/>
      <c r="F154" s="1692"/>
      <c r="G154" s="1692"/>
      <c r="H154" s="1692"/>
      <c r="I154" s="1692"/>
      <c r="J154" s="1692"/>
      <c r="K154" s="1692"/>
      <c r="L154" s="1692"/>
      <c r="M154" s="1692"/>
      <c r="N154" s="1692"/>
      <c r="Y154" s="838"/>
      <c r="Z154" s="838"/>
      <c r="AA154" s="839"/>
      <c r="AB154" s="839"/>
      <c r="AC154" s="839"/>
      <c r="AD154" s="839"/>
      <c r="AE154" s="839"/>
      <c r="AI154" s="837"/>
      <c r="AJ154" s="822"/>
      <c r="AK154" s="822"/>
      <c r="AL154" s="822"/>
      <c r="AM154" s="822"/>
      <c r="CM154" s="840"/>
    </row>
    <row r="155" spans="1:97" ht="22" customHeight="1" x14ac:dyDescent="0.3">
      <c r="C155" s="1692" t="s">
        <v>2319</v>
      </c>
      <c r="D155" s="1692"/>
      <c r="E155" s="1692"/>
      <c r="F155" s="1692"/>
      <c r="G155" s="1692"/>
      <c r="H155" s="1692"/>
      <c r="I155" s="1692"/>
      <c r="J155" s="1692"/>
      <c r="K155" s="1692"/>
      <c r="L155" s="1692"/>
      <c r="M155" s="1692"/>
      <c r="N155" s="1692"/>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45931</v>
      </c>
      <c r="G158" s="1390"/>
      <c r="H158" s="1390"/>
      <c r="I158" s="1390">
        <f>IFERROR(F158+7-WEEKDAY(F158,3),"")</f>
        <v>45936</v>
      </c>
      <c r="J158" s="1390"/>
      <c r="K158" s="1390">
        <f>IFERROR(I158+7," ")</f>
        <v>45943</v>
      </c>
      <c r="L158" s="1390">
        <f>IFERROR(K158+7," ")</f>
        <v>45950</v>
      </c>
      <c r="M158" s="1390">
        <f>IFERROR(L158+7," ")</f>
        <v>45957</v>
      </c>
      <c r="N158" s="1390">
        <f>IFERROR(M158+7," ")</f>
        <v>45964</v>
      </c>
      <c r="O158" s="1390">
        <f>IFERROR(N158+7," ")</f>
        <v>45971</v>
      </c>
      <c r="P158" s="1390">
        <f t="shared" ref="P158" si="9">IFERROR(O158+7," ")</f>
        <v>45978</v>
      </c>
      <c r="Q158" s="1390">
        <f t="shared" ref="Q158" si="10">IFERROR(P158+7," ")</f>
        <v>45985</v>
      </c>
      <c r="R158" s="1390">
        <f t="shared" ref="R158" si="11">IFERROR(Q158+7," ")</f>
        <v>45992</v>
      </c>
      <c r="S158" s="1390">
        <f t="shared" ref="S158" si="12">IFERROR(R158+7," ")</f>
        <v>45999</v>
      </c>
      <c r="T158" s="1390">
        <f t="shared" ref="T158" si="13">IFERROR(S158+7," ")</f>
        <v>46006</v>
      </c>
      <c r="U158" s="1390">
        <f t="shared" ref="U158" si="14">IFERROR(T158+7," ")</f>
        <v>46013</v>
      </c>
      <c r="V158" s="1390"/>
      <c r="W158" s="1390"/>
      <c r="X158" s="1390"/>
      <c r="Y158" s="1390">
        <f>IFERROR(U158+7," ")</f>
        <v>46020</v>
      </c>
      <c r="Z158" s="1390">
        <f t="shared" ref="Z158" si="15">IFERROR(Y158+7," ")</f>
        <v>46027</v>
      </c>
      <c r="AA158" s="1390">
        <f t="shared" ref="AA158" si="16">IFERROR(Z158+7," ")</f>
        <v>46034</v>
      </c>
      <c r="AB158" s="1390">
        <f t="shared" ref="AB158" si="17">IFERROR(AA158+7," ")</f>
        <v>46041</v>
      </c>
      <c r="AC158" s="1390"/>
      <c r="AD158" s="1524"/>
      <c r="AE158" s="1524"/>
      <c r="AF158" s="1524"/>
      <c r="AG158" s="1390">
        <f>IFERROR(AB158+7," ")</f>
        <v>46048</v>
      </c>
      <c r="AH158" s="1390">
        <f>IFERROR(AG158+7," ")</f>
        <v>46055</v>
      </c>
      <c r="AI158" s="1390">
        <f t="shared" ref="AI158:BJ158" si="18">IFERROR(AH158+7," ")</f>
        <v>46062</v>
      </c>
      <c r="AJ158" s="1390">
        <f>IFERROR(AI158+7," ")</f>
        <v>46069</v>
      </c>
      <c r="AK158" s="1390">
        <f t="shared" si="18"/>
        <v>46076</v>
      </c>
      <c r="AL158" s="1390">
        <f t="shared" si="18"/>
        <v>46083</v>
      </c>
      <c r="AM158" s="1390">
        <f t="shared" si="18"/>
        <v>46090</v>
      </c>
      <c r="AN158" s="1390">
        <f t="shared" si="18"/>
        <v>46097</v>
      </c>
      <c r="AO158" s="1390">
        <f t="shared" si="18"/>
        <v>46104</v>
      </c>
      <c r="AP158" s="1390">
        <f t="shared" si="18"/>
        <v>46111</v>
      </c>
      <c r="AQ158" s="1390">
        <f t="shared" si="18"/>
        <v>46118</v>
      </c>
      <c r="AR158" s="1390">
        <f t="shared" si="18"/>
        <v>46125</v>
      </c>
      <c r="AS158" s="1390">
        <f t="shared" si="18"/>
        <v>46132</v>
      </c>
      <c r="AT158" s="1390">
        <f t="shared" si="18"/>
        <v>46139</v>
      </c>
      <c r="AU158" s="1390">
        <f t="shared" si="18"/>
        <v>46146</v>
      </c>
      <c r="AV158" s="1390">
        <f t="shared" si="18"/>
        <v>46153</v>
      </c>
      <c r="AW158" s="1390">
        <f t="shared" si="18"/>
        <v>46160</v>
      </c>
      <c r="AX158" s="1390">
        <f t="shared" si="18"/>
        <v>46167</v>
      </c>
      <c r="AY158" s="1390">
        <f t="shared" si="18"/>
        <v>46174</v>
      </c>
      <c r="AZ158" s="1390">
        <f t="shared" si="18"/>
        <v>46181</v>
      </c>
      <c r="BA158" s="1390">
        <f t="shared" si="18"/>
        <v>46188</v>
      </c>
      <c r="BB158" s="1390">
        <f t="shared" si="18"/>
        <v>46195</v>
      </c>
      <c r="BC158" s="1390">
        <f t="shared" si="18"/>
        <v>46202</v>
      </c>
      <c r="BD158" s="1390">
        <f t="shared" si="18"/>
        <v>46209</v>
      </c>
      <c r="BE158" s="1390">
        <f t="shared" si="18"/>
        <v>46216</v>
      </c>
      <c r="BF158" s="1390">
        <f t="shared" si="18"/>
        <v>46223</v>
      </c>
      <c r="BG158" s="1390">
        <f t="shared" si="18"/>
        <v>46230</v>
      </c>
      <c r="BH158" s="1390">
        <f t="shared" si="18"/>
        <v>46237</v>
      </c>
      <c r="BI158" s="1390">
        <f t="shared" si="18"/>
        <v>46244</v>
      </c>
      <c r="BJ158" s="1390">
        <f t="shared" si="18"/>
        <v>46251</v>
      </c>
      <c r="BK158" s="1390">
        <f t="shared" ref="BK158" si="19">IFERROR(BJ158+7," ")</f>
        <v>46258</v>
      </c>
      <c r="BL158" s="1390">
        <f t="shared" ref="BL158" si="20">IFERROR(BK158+7," ")</f>
        <v>46265</v>
      </c>
      <c r="BM158" s="1390">
        <f t="shared" ref="BM158" si="21">IFERROR(BL158+7," ")</f>
        <v>46272</v>
      </c>
      <c r="BN158" s="1390">
        <f>IFERROR(BM158+7," ")</f>
        <v>46279</v>
      </c>
      <c r="BO158" s="1390">
        <f>IFERROR(BN158+7," ")</f>
        <v>46286</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43" t="s">
        <v>3678</v>
      </c>
      <c r="D160" s="1743"/>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37" t="s">
        <v>176</v>
      </c>
      <c r="D161" s="1737"/>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37" t="s">
        <v>257</v>
      </c>
      <c r="D162" s="1737"/>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37" t="s">
        <v>269</v>
      </c>
      <c r="D163" s="1737"/>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37" t="s">
        <v>283</v>
      </c>
      <c r="D164" s="1737"/>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37" t="s">
        <v>294</v>
      </c>
      <c r="D165" s="1737"/>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45929</v>
      </c>
      <c r="G166" s="883"/>
      <c r="H166" s="883"/>
      <c r="I166" s="883">
        <f>IF(WEEKDAY(I158,1)=2,I158,I158-WEEKDAY(I158,1)+2)</f>
        <v>45936</v>
      </c>
      <c r="J166" s="883"/>
      <c r="K166" s="883">
        <f t="shared" ref="K166:AB166" si="72">IF(WEEKDAY(K158,1)=2,K158,K158-WEEKDAY(K158,1)+2)</f>
        <v>45943</v>
      </c>
      <c r="L166" s="883">
        <f t="shared" si="72"/>
        <v>45950</v>
      </c>
      <c r="M166" s="883">
        <f t="shared" si="72"/>
        <v>45957</v>
      </c>
      <c r="N166" s="883">
        <f t="shared" si="72"/>
        <v>45964</v>
      </c>
      <c r="O166" s="883">
        <f t="shared" si="72"/>
        <v>45971</v>
      </c>
      <c r="P166" s="883">
        <f t="shared" si="72"/>
        <v>45978</v>
      </c>
      <c r="Q166" s="883">
        <f t="shared" si="72"/>
        <v>45985</v>
      </c>
      <c r="R166" s="897">
        <f t="shared" si="72"/>
        <v>45992</v>
      </c>
      <c r="S166" s="901">
        <f t="shared" si="72"/>
        <v>45999</v>
      </c>
      <c r="T166" s="901">
        <f t="shared" si="72"/>
        <v>46006</v>
      </c>
      <c r="U166" s="901">
        <f t="shared" si="72"/>
        <v>46013</v>
      </c>
      <c r="V166" s="901"/>
      <c r="W166" s="901"/>
      <c r="X166" s="901"/>
      <c r="Y166" s="901">
        <f t="shared" si="72"/>
        <v>46020</v>
      </c>
      <c r="Z166" s="901">
        <f t="shared" si="72"/>
        <v>46027</v>
      </c>
      <c r="AA166" s="901">
        <f t="shared" si="72"/>
        <v>46034</v>
      </c>
      <c r="AB166" s="901">
        <f t="shared" si="72"/>
        <v>46041</v>
      </c>
      <c r="AC166" s="901"/>
      <c r="AH166" s="901">
        <f t="shared" ref="AH166:BN166" si="73">IF(WEEKDAY(AH158,1)=2,AH158,AH158-WEEKDAY(AH158,1)+2)</f>
        <v>46055</v>
      </c>
      <c r="AI166" s="901">
        <f t="shared" si="73"/>
        <v>46062</v>
      </c>
      <c r="AJ166" s="901">
        <f t="shared" si="73"/>
        <v>46069</v>
      </c>
      <c r="AK166" s="901">
        <f t="shared" si="73"/>
        <v>46076</v>
      </c>
      <c r="AL166" s="901">
        <f t="shared" si="73"/>
        <v>46083</v>
      </c>
      <c r="AM166" s="901">
        <f t="shared" si="73"/>
        <v>46090</v>
      </c>
      <c r="AN166" s="901">
        <f t="shared" si="73"/>
        <v>46097</v>
      </c>
      <c r="AO166" s="901">
        <f t="shared" si="73"/>
        <v>46104</v>
      </c>
      <c r="AP166" s="901">
        <f t="shared" si="73"/>
        <v>46111</v>
      </c>
      <c r="AQ166" s="901">
        <f t="shared" si="73"/>
        <v>46118</v>
      </c>
      <c r="AR166" s="901">
        <f t="shared" si="73"/>
        <v>46125</v>
      </c>
      <c r="AS166" s="901">
        <f t="shared" si="73"/>
        <v>46132</v>
      </c>
      <c r="AT166" s="901">
        <f t="shared" si="73"/>
        <v>46139</v>
      </c>
      <c r="AU166" s="901">
        <f t="shared" si="73"/>
        <v>46146</v>
      </c>
      <c r="AV166" s="901">
        <f t="shared" si="73"/>
        <v>46153</v>
      </c>
      <c r="AW166" s="901">
        <f t="shared" si="73"/>
        <v>46160</v>
      </c>
      <c r="AX166" s="901">
        <f t="shared" si="73"/>
        <v>46167</v>
      </c>
      <c r="AY166" s="901">
        <f t="shared" si="73"/>
        <v>46174</v>
      </c>
      <c r="AZ166" s="901">
        <f t="shared" si="73"/>
        <v>46181</v>
      </c>
      <c r="BA166" s="901">
        <f t="shared" si="73"/>
        <v>46188</v>
      </c>
      <c r="BB166" s="901">
        <f t="shared" si="73"/>
        <v>46195</v>
      </c>
      <c r="BC166" s="901">
        <f t="shared" si="73"/>
        <v>46202</v>
      </c>
      <c r="BD166" s="901">
        <f t="shared" si="73"/>
        <v>46209</v>
      </c>
      <c r="BE166" s="901">
        <f t="shared" si="73"/>
        <v>46216</v>
      </c>
      <c r="BF166" s="901">
        <f t="shared" si="73"/>
        <v>46223</v>
      </c>
      <c r="BG166" s="901">
        <f t="shared" si="73"/>
        <v>46230</v>
      </c>
      <c r="BH166" s="901">
        <f t="shared" si="73"/>
        <v>46237</v>
      </c>
      <c r="BI166" s="901">
        <f t="shared" si="73"/>
        <v>46244</v>
      </c>
      <c r="BJ166" s="901">
        <f t="shared" si="73"/>
        <v>46251</v>
      </c>
      <c r="BK166" s="901">
        <f t="shared" si="73"/>
        <v>46258</v>
      </c>
      <c r="BL166" s="901">
        <f t="shared" si="73"/>
        <v>46265</v>
      </c>
      <c r="BM166" s="1337">
        <f t="shared" si="73"/>
        <v>46272</v>
      </c>
      <c r="BN166" s="1338">
        <f t="shared" si="73"/>
        <v>46279</v>
      </c>
      <c r="BO166" s="1338">
        <f t="shared" ref="BO166" si="74">IF(WEEKDAY(BO158,1)=2,BO158,BO158-WEEKDAY(BO158,1)+2)</f>
        <v>46286</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272</v>
      </c>
      <c r="G169" s="1321"/>
      <c r="H169" s="1321"/>
      <c r="I169" s="1321">
        <f>SUM(I170:I269)</f>
        <v>272</v>
      </c>
      <c r="J169" s="1321"/>
      <c r="K169" s="1321">
        <f>SUM(K170:K269)</f>
        <v>272</v>
      </c>
      <c r="L169" s="1321">
        <f t="shared" ref="L169:AB169" si="75">SUM(L170:L269)</f>
        <v>272</v>
      </c>
      <c r="M169" s="1321">
        <f t="shared" si="75"/>
        <v>292</v>
      </c>
      <c r="N169" s="1321">
        <f t="shared" si="75"/>
        <v>292</v>
      </c>
      <c r="O169" s="1321">
        <f t="shared" si="75"/>
        <v>292</v>
      </c>
      <c r="P169" s="1321">
        <f t="shared" si="75"/>
        <v>292</v>
      </c>
      <c r="Q169" s="1321">
        <f t="shared" si="75"/>
        <v>292</v>
      </c>
      <c r="R169" s="1321">
        <f t="shared" si="75"/>
        <v>292</v>
      </c>
      <c r="S169" s="1321">
        <f t="shared" si="75"/>
        <v>292</v>
      </c>
      <c r="T169" s="1321">
        <f t="shared" si="75"/>
        <v>292</v>
      </c>
      <c r="U169" s="1321">
        <f t="shared" si="75"/>
        <v>292</v>
      </c>
      <c r="V169" s="1321"/>
      <c r="W169" s="1321"/>
      <c r="X169" s="1321"/>
      <c r="Y169" s="1321">
        <f t="shared" si="75"/>
        <v>252</v>
      </c>
      <c r="Z169" s="1321">
        <f t="shared" si="75"/>
        <v>252</v>
      </c>
      <c r="AA169" s="1321">
        <f t="shared" si="75"/>
        <v>252</v>
      </c>
      <c r="AB169" s="899">
        <f t="shared" si="75"/>
        <v>252</v>
      </c>
      <c r="AC169" s="899"/>
      <c r="AD169" s="1335"/>
      <c r="AE169" s="1335"/>
      <c r="AF169" s="1335"/>
      <c r="AG169" s="1335">
        <f>SUM(AG170:AG269)</f>
        <v>292</v>
      </c>
      <c r="AH169" s="899">
        <f t="shared" ref="AH169:AI169" si="76">SUM(AH170:AH269)</f>
        <v>292</v>
      </c>
      <c r="AI169" s="899">
        <f t="shared" si="76"/>
        <v>292</v>
      </c>
      <c r="AJ169" s="899">
        <f t="shared" ref="AJ169:BC169" si="77">SUM(AJ170:AJ269)</f>
        <v>292</v>
      </c>
      <c r="AK169" s="899">
        <f t="shared" si="77"/>
        <v>292</v>
      </c>
      <c r="AL169" s="899">
        <f t="shared" si="77"/>
        <v>292</v>
      </c>
      <c r="AM169" s="899">
        <f t="shared" si="77"/>
        <v>292</v>
      </c>
      <c r="AN169" s="899">
        <f t="shared" si="77"/>
        <v>292</v>
      </c>
      <c r="AO169" s="899">
        <f t="shared" si="77"/>
        <v>292</v>
      </c>
      <c r="AP169" s="899">
        <f t="shared" si="77"/>
        <v>292</v>
      </c>
      <c r="AQ169" s="899">
        <f t="shared" si="77"/>
        <v>292</v>
      </c>
      <c r="AR169" s="899">
        <f t="shared" si="77"/>
        <v>292</v>
      </c>
      <c r="AS169" s="899">
        <f t="shared" si="77"/>
        <v>292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Sr. Developer</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Technical Lead</v>
      </c>
      <c r="E171" s="1326"/>
      <c r="F171" s="1327">
        <v>20</v>
      </c>
      <c r="G171" s="1327"/>
      <c r="H171" s="1570"/>
      <c r="I171" s="1329">
        <v>20</v>
      </c>
      <c r="J171" s="1316"/>
      <c r="K171" s="1286">
        <v>20</v>
      </c>
      <c r="L171" s="1331">
        <v>20</v>
      </c>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Technical Lead</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TADNorthAmerica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TADIndia</v>
      </c>
      <c r="D174" s="1318" t="str">
        <f t="shared" ref="D174:D237" si="81">IF(K52="","",K52)</f>
        <v>Sr. Developer</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QA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TADIndia</v>
      </c>
      <c r="D176" s="1318" t="str">
        <f t="shared" si="81"/>
        <v>Sr. Business Analyst</v>
      </c>
      <c r="E176" s="1326"/>
      <c r="F176" s="1327">
        <f>IF($E$30="Enter Duration (wks)","",IF($Y54="Enter Hrs/Wk","",IF($E$30&gt;='FORMULA REFS'!A$1,$Y54,"")))</f>
        <v>40</v>
      </c>
      <c r="G176" s="1328"/>
      <c r="H176" s="1570"/>
      <c r="I176" s="1329">
        <f>IF($E$30="Enter Duration (wks)","",IF($Y54="Enter Hrs/Wk","",IF($E$30&gt;='FORMULA REFS'!B$1,$Y54,"")))</f>
        <v>40</v>
      </c>
      <c r="J176" s="1323"/>
      <c r="K176" s="1286">
        <f>IF($E$30="Enter Duration (wks)","",IF($Y54="Enter Hrs/Wk","",IF($E$30&gt;='FORMULA REFS'!C$1,$Y54,"")))</f>
        <v>40</v>
      </c>
      <c r="L176" s="882">
        <f>IF($E$30="Enter Duration (wks)","",IF($Y54="Enter Hrs/Wk","",IF($E$30&gt;='FORMULA REFS'!D$1,$Y54,"")))</f>
        <v>40</v>
      </c>
      <c r="M176" s="882">
        <f>IF($E$30="Enter Duration (wks)","",IF($Y54="Enter Hrs/Wk","",IF($E$30&gt;='FORMULA REFS'!E$1,$Y54,"")))</f>
        <v>40</v>
      </c>
      <c r="N176" s="882">
        <f>IF($E$30="Enter Duration (wks)","",IF($Y54="Enter Hrs/Wk","",IF($E$30&gt;='FORMULA REFS'!F$1,$Y54,"")))</f>
        <v>40</v>
      </c>
      <c r="O176" s="882">
        <f>IF($E$30="Enter Duration (wks)","",IF($Y54="Enter Hrs/Wk","",IF($E$30&gt;='FORMULA REFS'!G$1,$Y54,"")))</f>
        <v>40</v>
      </c>
      <c r="P176" s="882">
        <f>IF($E$30="Enter Duration (wks)","",IF($Y54="Enter Hrs/Wk","",IF($E$30&gt;='FORMULA REFS'!H$1,$Y54,"")))</f>
        <v>40</v>
      </c>
      <c r="Q176" s="882">
        <f>IF($E$30="Enter Duration (wks)","",IF($Y54="Enter Hrs/Wk","",IF($E$30&gt;='FORMULA REFS'!I$1,$Y54,"")))</f>
        <v>40</v>
      </c>
      <c r="R176" s="882">
        <f>IF($E$30="Enter Duration (wks)","",IF($Y54="Enter Hrs/Wk","",IF($E$30&gt;='FORMULA REFS'!J$1,$Y54,"")))</f>
        <v>40</v>
      </c>
      <c r="S176" s="882">
        <f>IF($E$30="Enter Duration (wks)","",IF($Y54="Enter Hrs/Wk","",IF($E$30&gt;='FORMULA REFS'!K$1,$Y54,"")))</f>
        <v>40</v>
      </c>
      <c r="T176" s="1323">
        <f>IF($E$30="Enter Duration (wks)","",IF($Y54="Enter Hrs/Wk","",IF($E$30&gt;='FORMULA REFS'!L$1,$Y54,"")))</f>
        <v>40</v>
      </c>
      <c r="U176" s="882">
        <f>IF($E$30="Enter Duration (wks)","",IF($Y54="Enter Hrs/Wk","",IF($E$30&gt;='FORMULA REFS'!M$1,$Y54,"")))</f>
        <v>40</v>
      </c>
      <c r="V176" s="882"/>
      <c r="W176" s="882"/>
      <c r="X176" s="1285"/>
      <c r="Y176" s="1285">
        <f>IF($E$30="Enter Duration (wks)","",IF($Y54="Enter Hrs/Wk","",IF($E$30&gt;='FORMULA REFS'!N$1,$Y54,"")))</f>
        <v>40</v>
      </c>
      <c r="Z176" s="1343">
        <f>IF($E$30="Enter Duration (wks)","",IF($Y54="Enter Hrs/Wk","",IF($E$30&gt;='FORMULA REFS'!O$1,$Y54,"")))</f>
        <v>40</v>
      </c>
      <c r="AA176" s="882">
        <f>IF($E$30="Enter Duration (wks)","",IF($Y54="Enter Hrs/Wk","",IF($E$30&gt;='FORMULA REFS'!P$1,$Y54,"")))</f>
        <v>40</v>
      </c>
      <c r="AB176" s="882">
        <f>IF($E$30="Enter Duration (wks)","",IF($Y54="Enter Hrs/Wk","",IF($E$30&gt;='FORMULA REFS'!Q$1,$Y54,"")))</f>
        <v>40</v>
      </c>
      <c r="AC176" s="882"/>
      <c r="AD176" s="882"/>
      <c r="AE176" s="882"/>
      <c r="AF176" s="882"/>
      <c r="AG176" s="1286">
        <f>IF($E$30="Enter Duration (wks)","",IF($Y54="Enter Hrs/Wk","",IF($E$30&gt;='FORMULA REFS'!R$1,$Y54,"")))</f>
        <v>40</v>
      </c>
      <c r="AH176" s="1286">
        <f>IF($E$30="Enter Duration (wks)","",IF($Y54="Enter Hrs/Wk","",IF($E$30&gt;='FORMULA REFS'!S$1,$Y54,"")))</f>
        <v>40</v>
      </c>
      <c r="AI176" s="1286">
        <f>IF($E$30="Enter Duration (wks)","",IF($Y54="Enter Hrs/Wk","",IF($E$30&gt;='FORMULA REFS'!T$1,$Y54,"")))</f>
        <v>40</v>
      </c>
      <c r="AJ176" s="1286">
        <f>IF($E$30="Enter Duration (wks)","",IF($Y54="Enter Hrs/Wk","",IF($E$30&gt;='FORMULA REFS'!U$1,$Y54,"")))</f>
        <v>40</v>
      </c>
      <c r="AK176" s="1286">
        <f>IF($E$30="Enter Duration (wks)","",IF($Y54="Enter Hrs/Wk","",IF($E$30&gt;='FORMULA REFS'!V$1,$Y54,"")))</f>
        <v>40</v>
      </c>
      <c r="AL176" s="1286">
        <f>IF($E$30="Enter Duration (wks)","",IF($Y54="Enter Hrs/Wk","",IF($E$30&gt;='FORMULA REFS'!W$1,$Y54,"")))</f>
        <v>40</v>
      </c>
      <c r="AM176" s="1286">
        <f>IF($E$30="Enter Duration (wks)","",IF($Y54="Enter Hrs/Wk","",IF($E$30&gt;='FORMULA REFS'!X$1,$Y54,"")))</f>
        <v>40</v>
      </c>
      <c r="AN176" s="1286">
        <f>IF($E$30="Enter Duration (wks)","",IF($Y54="Enter Hrs/Wk","",IF($E$30&gt;='FORMULA REFS'!Y$1,$Y54,"")))</f>
        <v>40</v>
      </c>
      <c r="AO176" s="1286">
        <f>IF($E$30="Enter Duration (wks)","",IF($Y54="Enter Hrs/Wk","",IF($E$30&gt;='FORMULA REFS'!Z$1,$Y54,"")))</f>
        <v>40</v>
      </c>
      <c r="AP176" s="1286">
        <f>IF($E$30="Enter Duration (wks)","",IF($Y54="Enter Hrs/Wk","",IF($E$30&gt;='FORMULA REFS'!AA$1,$Y54,"")))</f>
        <v>40</v>
      </c>
      <c r="AQ176" s="1286">
        <f>IF($E$30="Enter Duration (wks)","",IF($Y54="Enter Hrs/Wk","",IF($E$30&gt;='FORMULA REFS'!AB$1,$Y54,"")))</f>
        <v>40</v>
      </c>
      <c r="AR176" s="1286">
        <f>IF($E$30="Enter Duration (wks)","",IF($Y54="Enter Hrs/Wk","",IF($E$30&gt;='FORMULA REFS'!AC$1,$Y54,"")))</f>
        <v>40</v>
      </c>
      <c r="AS176" s="1286">
        <f>IF($E$30="Enter Duration (wks)","",IF($Y54="Enter Hrs/Wk","",IF($E$30&gt;='FORMULA REFS'!AD$1,$Y54,"")))</f>
        <v>40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TADIndia</v>
      </c>
      <c r="D177" s="1318" t="str">
        <f t="shared" si="81"/>
        <v>Delivery Manager</v>
      </c>
      <c r="E177" s="1326"/>
      <c r="F177" s="1327">
        <f>IF($E$30="Enter Duration (wks)","",IF($Y55="Enter Hrs/Wk","",IF($E$30&gt;='FORMULA REFS'!A$1,$Y55,"")))</f>
        <v>20</v>
      </c>
      <c r="G177" s="1328"/>
      <c r="H177" s="1570"/>
      <c r="I177" s="1329">
        <f>IF($E$30="Enter Duration (wks)","",IF($Y55="Enter Hrs/Wk","",IF($E$30&gt;='FORMULA REFS'!B$1,$Y55,"")))</f>
        <v>20</v>
      </c>
      <c r="J177" s="1323"/>
      <c r="K177" s="1286">
        <f>IF($E$30="Enter Duration (wks)","",IF($Y55="Enter Hrs/Wk","",IF($E$30&gt;='FORMULA REFS'!C$1,$Y55,"")))</f>
        <v>20</v>
      </c>
      <c r="L177" s="882">
        <f>IF($E$30="Enter Duration (wks)","",IF($Y55="Enter Hrs/Wk","",IF($E$30&gt;='FORMULA REFS'!D$1,$Y55,"")))</f>
        <v>20</v>
      </c>
      <c r="M177" s="882">
        <f>IF($E$30="Enter Duration (wks)","",IF($Y55="Enter Hrs/Wk","",IF($E$30&gt;='FORMULA REFS'!E$1,$Y55,"")))</f>
        <v>20</v>
      </c>
      <c r="N177" s="882">
        <f>IF($E$30="Enter Duration (wks)","",IF($Y55="Enter Hrs/Wk","",IF($E$30&gt;='FORMULA REFS'!F$1,$Y55,"")))</f>
        <v>20</v>
      </c>
      <c r="O177" s="882">
        <f>IF($E$30="Enter Duration (wks)","",IF($Y55="Enter Hrs/Wk","",IF($E$30&gt;='FORMULA REFS'!G$1,$Y55,"")))</f>
        <v>20</v>
      </c>
      <c r="P177" s="882">
        <f>IF($E$30="Enter Duration (wks)","",IF($Y55="Enter Hrs/Wk","",IF($E$30&gt;='FORMULA REFS'!H$1,$Y55,"")))</f>
        <v>20</v>
      </c>
      <c r="Q177" s="882">
        <f>IF($E$30="Enter Duration (wks)","",IF($Y55="Enter Hrs/Wk","",IF($E$30&gt;='FORMULA REFS'!I$1,$Y55,"")))</f>
        <v>20</v>
      </c>
      <c r="R177" s="882">
        <f>IF($E$30="Enter Duration (wks)","",IF($Y55="Enter Hrs/Wk","",IF($E$30&gt;='FORMULA REFS'!J$1,$Y55,"")))</f>
        <v>20</v>
      </c>
      <c r="S177" s="882">
        <f>IF($E$30="Enter Duration (wks)","",IF($Y55="Enter Hrs/Wk","",IF($E$30&gt;='FORMULA REFS'!K$1,$Y55,"")))</f>
        <v>20</v>
      </c>
      <c r="T177" s="1323">
        <f>IF($E$30="Enter Duration (wks)","",IF($Y55="Enter Hrs/Wk","",IF($E$30&gt;='FORMULA REFS'!L$1,$Y55,"")))</f>
        <v>20</v>
      </c>
      <c r="U177" s="882">
        <f>IF($E$30="Enter Duration (wks)","",IF($Y55="Enter Hrs/Wk","",IF($E$30&gt;='FORMULA REFS'!M$1,$Y55,"")))</f>
        <v>20</v>
      </c>
      <c r="V177" s="882"/>
      <c r="W177" s="882"/>
      <c r="X177" s="1285"/>
      <c r="Y177" s="1285">
        <f>IF($E$30="Enter Duration (wks)","",IF($Y55="Enter Hrs/Wk","",IF($E$30&gt;='FORMULA REFS'!N$1,$Y55,"")))</f>
        <v>20</v>
      </c>
      <c r="Z177" s="1343">
        <f>IF($E$30="Enter Duration (wks)","",IF($Y55="Enter Hrs/Wk","",IF($E$30&gt;='FORMULA REFS'!O$1,$Y55,"")))</f>
        <v>20</v>
      </c>
      <c r="AA177" s="882">
        <f>IF($E$30="Enter Duration (wks)","",IF($Y55="Enter Hrs/Wk","",IF($E$30&gt;='FORMULA REFS'!P$1,$Y55,"")))</f>
        <v>20</v>
      </c>
      <c r="AB177" s="882">
        <f>IF($E$30="Enter Duration (wks)","",IF($Y55="Enter Hrs/Wk","",IF($E$30&gt;='FORMULA REFS'!Q$1,$Y55,"")))</f>
        <v>20</v>
      </c>
      <c r="AC177" s="882"/>
      <c r="AD177" s="882"/>
      <c r="AE177" s="882"/>
      <c r="AF177" s="882"/>
      <c r="AG177" s="1286">
        <f>IF($E$30="Enter Duration (wks)","",IF($Y55="Enter Hrs/Wk","",IF($E$30&gt;='FORMULA REFS'!R$1,$Y55,"")))</f>
        <v>20</v>
      </c>
      <c r="AH177" s="1286">
        <f>IF($E$30="Enter Duration (wks)","",IF($Y55="Enter Hrs/Wk","",IF($E$30&gt;='FORMULA REFS'!S$1,$Y55,"")))</f>
        <v>20</v>
      </c>
      <c r="AI177" s="1286">
        <f>IF($E$30="Enter Duration (wks)","",IF($Y55="Enter Hrs/Wk","",IF($E$30&gt;='FORMULA REFS'!T$1,$Y55,"")))</f>
        <v>20</v>
      </c>
      <c r="AJ177" s="1286">
        <f>IF($E$30="Enter Duration (wks)","",IF($Y55="Enter Hrs/Wk","",IF($E$30&gt;='FORMULA REFS'!U$1,$Y55,"")))</f>
        <v>20</v>
      </c>
      <c r="AK177" s="1286">
        <f>IF($E$30="Enter Duration (wks)","",IF($Y55="Enter Hrs/Wk","",IF($E$30&gt;='FORMULA REFS'!V$1,$Y55,"")))</f>
        <v>20</v>
      </c>
      <c r="AL177" s="1286">
        <f>IF($E$30="Enter Duration (wks)","",IF($Y55="Enter Hrs/Wk","",IF($E$30&gt;='FORMULA REFS'!W$1,$Y55,"")))</f>
        <v>20</v>
      </c>
      <c r="AM177" s="1286">
        <f>IF($E$30="Enter Duration (wks)","",IF($Y55="Enter Hrs/Wk","",IF($E$30&gt;='FORMULA REFS'!X$1,$Y55,"")))</f>
        <v>20</v>
      </c>
      <c r="AN177" s="1286">
        <f>IF($E$30="Enter Duration (wks)","",IF($Y55="Enter Hrs/Wk","",IF($E$30&gt;='FORMULA REFS'!Y$1,$Y55,"")))</f>
        <v>20</v>
      </c>
      <c r="AO177" s="1286">
        <f>IF($E$30="Enter Duration (wks)","",IF($Y55="Enter Hrs/Wk","",IF($E$30&gt;='FORMULA REFS'!Z$1,$Y55,"")))</f>
        <v>20</v>
      </c>
      <c r="AP177" s="1286">
        <f>IF($E$30="Enter Duration (wks)","",IF($Y55="Enter Hrs/Wk","",IF($E$30&gt;='FORMULA REFS'!AA$1,$Y55,"")))</f>
        <v>20</v>
      </c>
      <c r="AQ177" s="1286">
        <f>IF($E$30="Enter Duration (wks)","",IF($Y55="Enter Hrs/Wk","",IF($E$30&gt;='FORMULA REFS'!AB$1,$Y55,"")))</f>
        <v>20</v>
      </c>
      <c r="AR177" s="1286">
        <f>IF($E$30="Enter Duration (wks)","",IF($Y55="Enter Hrs/Wk","",IF($E$30&gt;='FORMULA REFS'!AC$1,$Y55,"")))</f>
        <v>20</v>
      </c>
      <c r="AS177" s="1286">
        <f>IF($E$30="Enter Duration (wks)","",IF($Y55="Enter Hrs/Wk","",IF($E$30&gt;='FORMULA REFS'!AD$1,$Y55,"")))</f>
        <v>20</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28"/>
      <c r="BY186" s="1728"/>
      <c r="BZ186" s="1728"/>
      <c r="CA186" s="1728"/>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28"/>
      <c r="BY187" s="1728"/>
      <c r="BZ187" s="1728"/>
      <c r="CA187" s="1728"/>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87" t="s">
        <v>3172</v>
      </c>
      <c r="D272" s="1688"/>
      <c r="E272" s="711" t="str">
        <f>IF(E169=0," ",(SUM($D$169:E169))/$M$289)</f>
        <v xml:space="preserve"> </v>
      </c>
      <c r="F272" s="1569">
        <f>IF(F169=0," ",(SUM($D$169:F169))/$M$289)</f>
        <v>3.1924882629107983E-2</v>
      </c>
      <c r="G272" s="1569" t="str">
        <f>IF(G169=0," ",(SUM($D$169:G169))/$M$289)</f>
        <v xml:space="preserve"> </v>
      </c>
      <c r="H272" s="1569"/>
      <c r="I272" s="1569">
        <f>IF(I169=0," ",(SUM($D$169:I169))/$M$289)</f>
        <v>6.3849765258215965E-2</v>
      </c>
      <c r="J272" s="1569" t="str">
        <f>IF(J169=0," ",(SUM($D$169:J169))/$M$289)</f>
        <v xml:space="preserve"> </v>
      </c>
      <c r="K272" s="1569">
        <f>IF(K169=0," ",(SUM($D$169:K169))/$M$289)</f>
        <v>9.5774647887323941E-2</v>
      </c>
      <c r="L272" s="1569">
        <f>IF(L169=0," ",(SUM($D$169:L169))/$M$289)</f>
        <v>0.12769953051643193</v>
      </c>
      <c r="M272" s="1569">
        <f>IF(M169=0," ",(SUM($D$169:M169))/$M$289)</f>
        <v>0.1619718309859155</v>
      </c>
      <c r="N272" s="1569">
        <f>IF(N169=0," ",(SUM($D$169:N169))/$M$289)</f>
        <v>0.19624413145539907</v>
      </c>
      <c r="O272" s="1569">
        <f>IF(O169=0," ",(SUM($D$169:O169))/$M$289)</f>
        <v>0.23051643192488264</v>
      </c>
      <c r="P272" s="1569">
        <f>IF(P169=0," ",(SUM($D$169:P169))/$M$289)</f>
        <v>0.26478873239436618</v>
      </c>
      <c r="Q272" s="1569">
        <f>IF(Q169=0," ",(SUM($D$169:Q169))/$M$289)</f>
        <v>0.29906103286384977</v>
      </c>
      <c r="R272" s="1569">
        <f>IF(R169=0," ",(SUM($D$169:R169))/$M$289)</f>
        <v>0.33333333333333331</v>
      </c>
      <c r="S272" s="1569">
        <f>IF(S169=0," ",(SUM($D$169:S169))/$M$289)</f>
        <v>0.36760563380281691</v>
      </c>
      <c r="T272" s="1569">
        <f>IF(T169=0," ",(SUM($D$169:T169))/$M$289)</f>
        <v>0.40187793427230045</v>
      </c>
      <c r="U272" s="1569">
        <f>IF(U169=0," ",(SUM($D$169:U169))/$M$289)</f>
        <v>0.43615023474178405</v>
      </c>
      <c r="V272" s="1569" t="str">
        <f>IF(V169=0," ",(SUM($D$169:V169))/$M$289)</f>
        <v xml:space="preserve"> </v>
      </c>
      <c r="W272" s="1569" t="str">
        <f>IF(W169=0," ",(SUM($D$169:W169))/$M$289)</f>
        <v xml:space="preserve"> </v>
      </c>
      <c r="X272" s="1569"/>
      <c r="Y272" s="1569">
        <f>IF(Y169=0," ",(SUM($D$169:Y169))/$M$289)</f>
        <v>0.46572769953051646</v>
      </c>
      <c r="Z272" s="1569">
        <f>IF(Z169=0," ",(SUM($D$169:Z169))/$M$289)</f>
        <v>0.49530516431924881</v>
      </c>
      <c r="AA272" s="711">
        <f>IF(AA169=0," ",(SUM($D$169:AA169))/$M$289)</f>
        <v>0.52488262910798122</v>
      </c>
      <c r="AB272" s="711">
        <f>IF(AB169=0," ",(SUM($D$169:AB169))/$M$289)</f>
        <v>0.55446009389671358</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0.58873239436619718</v>
      </c>
      <c r="AH272" s="711">
        <f>IF(AH169=0," ",(SUM($D$169:AH169))/$M$289)</f>
        <v>0.62300469483568077</v>
      </c>
      <c r="AI272" s="711">
        <f>IF(AI169=0," ",(SUM($D$169:AI169))/$M$289)</f>
        <v>0.65727699530516437</v>
      </c>
      <c r="AJ272" s="711">
        <f>IF(AJ169=0," ",(SUM($D$169:AJ169))/$M$289)</f>
        <v>0.69154929577464785</v>
      </c>
      <c r="AK272" s="711">
        <f>IF(AK169=0," ",(SUM($D$169:AK169))/$M$289)</f>
        <v>0.72582159624413145</v>
      </c>
      <c r="AL272" s="711">
        <f>IF(AL169=0," ",(SUM($D$169:AL169))/$M$289)</f>
        <v>0.76009389671361505</v>
      </c>
      <c r="AM272" s="711">
        <f>IF(AM169=0," ",(SUM($D$169:AM169))/$M$289)</f>
        <v>0.79436619718309864</v>
      </c>
      <c r="AN272" s="711">
        <f>IF(AN169=0," ",(SUM($D$169:AN169))/$M$289)</f>
        <v>0.82863849765258213</v>
      </c>
      <c r="AO272" s="711">
        <f>IF(AO169=0," ",(SUM($D$169:AO169))/$M$289)</f>
        <v>0.86291079812206573</v>
      </c>
      <c r="AP272" s="711">
        <f>IF(AP169=0," ",(SUM($D$169:AP169))/$M$289)</f>
        <v>0.89718309859154932</v>
      </c>
      <c r="AQ272" s="711">
        <f>IF(AQ169=0," ",(SUM($D$169:AQ169))/$M$289)</f>
        <v>0.93145539906103292</v>
      </c>
      <c r="AR272" s="711">
        <f>IF(AR169=0," ",(SUM($D$169:AR169))/$M$289)</f>
        <v>0.9657276995305164</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32" t="s">
        <v>3246</v>
      </c>
      <c r="D283" s="1732"/>
      <c r="E283" s="1732"/>
      <c r="F283" s="1732"/>
      <c r="G283" s="1732"/>
      <c r="H283" s="1733"/>
      <c r="I283" s="1732"/>
      <c r="J283" s="1732"/>
      <c r="K283" s="1732"/>
      <c r="L283" s="1732"/>
      <c r="M283" s="1732"/>
      <c r="N283" s="1732"/>
      <c r="O283" s="1469"/>
      <c r="P283" s="1469"/>
    </row>
    <row r="284" spans="1:66" x14ac:dyDescent="0.3">
      <c r="C284" s="1693" t="s">
        <v>2323</v>
      </c>
      <c r="D284" s="1693"/>
      <c r="E284" s="1693"/>
      <c r="F284" s="1693"/>
      <c r="G284" s="1693"/>
      <c r="H284" s="1693"/>
      <c r="I284" s="1693"/>
      <c r="J284" s="1693"/>
      <c r="K284" s="1693"/>
      <c r="L284" s="1693"/>
      <c r="M284" s="1693"/>
      <c r="N284" s="1693"/>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92" t="s">
        <v>3247</v>
      </c>
      <c r="D286" s="1692"/>
      <c r="E286" s="1692"/>
      <c r="F286" s="1692"/>
      <c r="G286" s="1692"/>
      <c r="H286" s="1692"/>
      <c r="I286" s="1692"/>
      <c r="J286" s="1692"/>
      <c r="K286" s="1692"/>
      <c r="L286" s="1692"/>
      <c r="M286" s="1692"/>
      <c r="N286" s="1692"/>
      <c r="O286" s="1692"/>
      <c r="P286" s="1692"/>
    </row>
    <row r="287" spans="1:66" ht="18" customHeight="1" x14ac:dyDescent="0.3">
      <c r="C287" s="1667" t="s">
        <v>3248</v>
      </c>
      <c r="D287" s="1667"/>
      <c r="E287" s="1667"/>
      <c r="F287" s="1667"/>
      <c r="G287" s="1667"/>
      <c r="H287" s="1667"/>
      <c r="I287" s="1667"/>
      <c r="J287" s="1667"/>
      <c r="K287" s="1667"/>
      <c r="L287" s="1667"/>
      <c r="M287" s="1667"/>
      <c r="N287" s="1667"/>
      <c r="O287" s="1667"/>
      <c r="P287" s="1667"/>
    </row>
    <row r="288" spans="1:66" ht="25" customHeight="1" x14ac:dyDescent="0.3">
      <c r="B288" s="555"/>
      <c r="C288" s="907" t="s">
        <v>189</v>
      </c>
      <c r="D288" s="1582">
        <f>IFERROR('3. Financial Inputs'!B52,"")</f>
        <v>0.99908273381294965</v>
      </c>
      <c r="E288" s="520"/>
      <c r="F288" s="521"/>
      <c r="G288" s="1211"/>
      <c r="H288" s="1211"/>
      <c r="J288" s="1211"/>
    </row>
    <row r="289" spans="2:16" ht="26" customHeight="1" x14ac:dyDescent="0.3">
      <c r="B289" s="555"/>
      <c r="C289" s="907" t="s">
        <v>2197</v>
      </c>
      <c r="D289" s="908">
        <f>SUM(D291:D390)</f>
        <v>834000</v>
      </c>
      <c r="E289" s="908"/>
      <c r="F289" s="908">
        <f>SUM(F291:F390)</f>
        <v>765</v>
      </c>
      <c r="G289" s="398"/>
      <c r="H289" s="398"/>
      <c r="K289" s="714"/>
      <c r="M289" s="1349">
        <f>SUM(M291:M346)</f>
        <v>8520</v>
      </c>
    </row>
    <row r="290" spans="2:16" ht="45" customHeight="1" x14ac:dyDescent="0.3">
      <c r="C290" s="712" t="s">
        <v>237</v>
      </c>
      <c r="D290" s="1396" t="s">
        <v>3319</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Sr. Developer</v>
      </c>
      <c r="D291" s="917">
        <f>IFERROR(IF($L291="Enter Override $",(IF($E$26="Select Type","Select Margin Class",IF($E$26="Standard Rates",I291*M291,IF($E$26="Client Custom Rates",K291*M291)))),L291*M291),"")</f>
        <v>78000</v>
      </c>
      <c r="E291" s="909"/>
      <c r="F291" s="909">
        <v>65</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91" s="909" cm="1">
        <f t="array" ref="K291">IF($E$20&lt;&gt;"Credera US",0,IF(L291&lt;&gt;"Enter Override $","",IFERROR(IF($D$26&lt;&gt;"Client Custom Rates",0,INDEX('Client Rate Cards'!E:E,MATCH(1,('Client Rate Cards'!B:B='2. Roles &amp; Pricing'!$D$27)*('Client Rate Cards'!D:D='2. Roles &amp; Pricing'!T48),0))),0)))</f>
        <v>0</v>
      </c>
      <c r="L291" s="1351" t="s">
        <v>3686</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Technical Lead</v>
      </c>
      <c r="D292" s="918">
        <f>IFERROR(IF($L292="",(IF($E$26="Select Type","Select Margin Class",IF($E$26="Standard Rates",I292*M292,IF($E$26="Client Custom Rates",K292*M292)))),L292*M292),"")</f>
        <v>81600</v>
      </c>
      <c r="E292" s="885"/>
      <c r="F292" s="885">
        <v>85</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85</v>
      </c>
      <c r="K292" s="885" cm="1">
        <f t="array" ref="K292">IF($E$20&lt;&gt;"Credera US",0,IF(L292&lt;&gt;"","",IFERROR(IF($D$26&lt;&gt;"Client Custom Rates",0,INDEX('Client Rate Cards'!E:E,MATCH(1,('Client Rate Cards'!B:B='2. Roles &amp; Pricing'!$D$27)*('Client Rate Cards'!D:D='2. Roles &amp; Pricing'!T49),0))),0)))</f>
        <v>0</v>
      </c>
      <c r="L292" s="1350"/>
      <c r="M292" s="887">
        <f t="shared" si="87"/>
        <v>960</v>
      </c>
      <c r="N292" s="913">
        <f t="shared" si="88"/>
        <v>26</v>
      </c>
    </row>
    <row r="293" spans="2:16" ht="14" customHeight="1" x14ac:dyDescent="0.3">
      <c r="C293" s="1352" t="str">
        <f t="shared" si="86"/>
        <v>Technical Lead</v>
      </c>
      <c r="D293" s="918">
        <f t="shared" ref="D293:D356" si="89">IFERROR(IF($L293="",(IF($E$26="Select Type","Select Margin Class",IF($E$26="Standard Rates",I293*M293,IF($E$26="Client Custom Rates",K293*M293)))),L293*M293),"")</f>
        <v>222000</v>
      </c>
      <c r="E293" s="885"/>
      <c r="F293" s="885">
        <v>185</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185</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204000</v>
      </c>
      <c r="E294" s="885"/>
      <c r="F294" s="885">
        <v>170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170</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Sr. Developer</v>
      </c>
      <c r="D295" s="918">
        <f t="shared" si="89"/>
        <v>78000</v>
      </c>
      <c r="E295" s="885"/>
      <c r="F295" s="885">
        <v>65</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65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QA Engineer</v>
      </c>
      <c r="D296" s="918">
        <f t="shared" si="89"/>
        <v>38400</v>
      </c>
      <c r="E296" s="885"/>
      <c r="F296" s="885">
        <v>40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40</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Sr. Business Analyst</v>
      </c>
      <c r="D297" s="918">
        <f t="shared" si="89"/>
        <v>78000</v>
      </c>
      <c r="E297" s="885"/>
      <c r="F297" s="885">
        <v>65</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65</v>
      </c>
      <c r="K297" s="885" cm="1">
        <f t="array" ref="K297">IF($E$20&lt;&gt;"Credera US",0,IF(L297&lt;&gt;"","",IFERROR(IF($D$26&lt;&gt;"Client Custom Rates",0,INDEX('Client Rate Cards'!E:E,MATCH(1,('Client Rate Cards'!B:B='2. Roles &amp; Pricing'!$D$27)*('Client Rate Cards'!D:D='2. Roles &amp; Pricing'!T54),0))),0)))</f>
        <v>0</v>
      </c>
      <c r="L297" s="1350"/>
      <c r="M297" s="887">
        <f t="shared" si="87"/>
        <v>1200</v>
      </c>
      <c r="N297" s="913">
        <f t="shared" si="88"/>
        <v>30</v>
      </c>
    </row>
    <row r="298" spans="2:16" ht="14" customHeight="1" x14ac:dyDescent="0.3">
      <c r="C298" s="1352" t="str">
        <f t="shared" si="86"/>
        <v>Delivery Manager</v>
      </c>
      <c r="D298" s="918">
        <f t="shared" si="89"/>
        <v>54000</v>
      </c>
      <c r="E298" s="885"/>
      <c r="F298" s="885">
        <v>90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90</v>
      </c>
      <c r="K298" s="885" cm="1">
        <f t="array" ref="K298">IF($E$20&lt;&gt;"Credera US",0,IF(L298&lt;&gt;"","",IFERROR(IF($D$26&lt;&gt;"Client Custom Rates",0,INDEX('Client Rate Cards'!E:E,MATCH(1,('Client Rate Cards'!B:B='2. Roles &amp; Pricing'!$D$27)*('Client Rate Cards'!D:D='2. Roles &amp; Pricing'!T55),0))),0)))</f>
        <v>0</v>
      </c>
      <c r="L298" s="1350"/>
      <c r="M298" s="887">
        <f t="shared" si="87"/>
        <v>600</v>
      </c>
      <c r="N298" s="913">
        <f t="shared" si="88"/>
        <v>30</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3398</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3577</v>
      </c>
      <c r="D394" s="1546"/>
      <c r="E394" s="1546"/>
      <c r="F394" s="1546"/>
      <c r="G394" s="1546"/>
      <c r="H394" s="1546"/>
      <c r="I394" s="1546"/>
    </row>
    <row r="395" spans="2:37" ht="14" customHeight="1" x14ac:dyDescent="0.3">
      <c r="C395" s="1666" t="s">
        <v>3576</v>
      </c>
      <c r="D395" s="1666"/>
      <c r="E395" s="1666"/>
      <c r="F395" s="1666"/>
      <c r="G395" s="1666"/>
      <c r="H395" s="1666"/>
      <c r="I395" s="1666"/>
      <c r="J395" s="1666"/>
      <c r="K395" s="1666"/>
      <c r="L395" s="1666"/>
      <c r="M395" s="1666"/>
      <c r="N395" s="1666"/>
      <c r="O395" s="627"/>
    </row>
    <row r="396" spans="2:37" x14ac:dyDescent="0.3">
      <c r="C396" s="1666" t="s">
        <v>3223</v>
      </c>
      <c r="D396" s="1666"/>
      <c r="E396" s="1666"/>
      <c r="F396" s="1666"/>
      <c r="G396" s="1666"/>
      <c r="H396" s="1666"/>
      <c r="I396" s="1666"/>
      <c r="J396" s="1666"/>
      <c r="K396" s="1666"/>
      <c r="L396" s="1666"/>
      <c r="M396" s="1666"/>
      <c r="N396" s="1666"/>
      <c r="O396" s="1264"/>
    </row>
    <row r="397" spans="2:37" x14ac:dyDescent="0.3">
      <c r="C397" s="1666" t="s">
        <v>3397</v>
      </c>
      <c r="D397" s="1666"/>
      <c r="E397" s="1666"/>
      <c r="F397" s="1666"/>
      <c r="G397" s="1666"/>
      <c r="H397" s="1666"/>
      <c r="I397" s="1666"/>
      <c r="J397" s="1666"/>
      <c r="K397" s="1666"/>
      <c r="L397" s="1666"/>
      <c r="M397" s="1666"/>
      <c r="N397" s="1666"/>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3578</v>
      </c>
      <c r="D399" s="1684" t="s">
        <v>101</v>
      </c>
      <c r="E399" s="1685"/>
      <c r="F399" s="1686"/>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K51:M51"/>
    <mergeCell ref="K52:M52"/>
    <mergeCell ref="F32:I32"/>
    <mergeCell ref="K47:M47"/>
    <mergeCell ref="C37:N37"/>
    <mergeCell ref="C38:N38"/>
    <mergeCell ref="O47:S47"/>
    <mergeCell ref="O48:S48"/>
    <mergeCell ref="O49:S49"/>
    <mergeCell ref="O50:S50"/>
    <mergeCell ref="C17:F17"/>
    <mergeCell ref="K48:M48"/>
    <mergeCell ref="K49:M49"/>
    <mergeCell ref="K50:M50"/>
    <mergeCell ref="C35:O35"/>
    <mergeCell ref="C42:N42"/>
    <mergeCell ref="C43:N43"/>
    <mergeCell ref="C44:N44"/>
    <mergeCell ref="K59:M59"/>
    <mergeCell ref="T53:U53"/>
    <mergeCell ref="T54:U54"/>
    <mergeCell ref="T55:U55"/>
    <mergeCell ref="T56:U56"/>
    <mergeCell ref="T57:U57"/>
    <mergeCell ref="K53:M53"/>
    <mergeCell ref="K54:M54"/>
    <mergeCell ref="K55:M55"/>
    <mergeCell ref="K56:M56"/>
    <mergeCell ref="K57:M57"/>
    <mergeCell ref="K58:M58"/>
    <mergeCell ref="O52:S52"/>
    <mergeCell ref="O51:S51"/>
    <mergeCell ref="T79:U79"/>
    <mergeCell ref="T80:U80"/>
    <mergeCell ref="T81:U81"/>
    <mergeCell ref="T82:U82"/>
    <mergeCell ref="T83:U83"/>
    <mergeCell ref="T84:U84"/>
    <mergeCell ref="T85:U85"/>
    <mergeCell ref="T58:U58"/>
    <mergeCell ref="T59:U59"/>
    <mergeCell ref="T86:U86"/>
    <mergeCell ref="T75:U75"/>
    <mergeCell ref="T76:U76"/>
    <mergeCell ref="T77:U77"/>
    <mergeCell ref="T78:U78"/>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91:K390">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91 D291:F390 I291:I390 G292:H292">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7">
    <cfRule type="expression" dxfId="120" priority="4">
      <formula>OR($C48="TADIndia",$C48="TADNorth America")</formula>
    </cfRule>
  </conditionalFormatting>
  <conditionalFormatting sqref="Y48:Y147">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60:CF161 CE170:CG170 CJ170:CK170 CE172:CF175 BP173:CA173 BP178:CA178 BP185:CA185">
    <cfRule type="expression" dxfId="110" priority="169">
      <formula>$AQ$1="UK"</formula>
    </cfRule>
    <cfRule type="expression" dxfId="109" priority="166">
      <formula>$AQ$1="Canada"</formula>
    </cfRule>
    <cfRule type="expression" dxfId="108" priority="167">
      <formula>$AQ$1="India"</formula>
    </cfRule>
    <cfRule type="expression" dxfId="107" priority="168">
      <formula>$AQ$1="US"</formula>
    </cfRule>
  </conditionalFormatting>
  <conditionalFormatting sqref="CI160:CI161">
    <cfRule type="expression" dxfId="106" priority="148">
      <formula>$AQ$1="US"</formula>
    </cfRule>
    <cfRule type="expression" dxfId="105" priority="149">
      <formula>$AQ$1="UK"</formula>
    </cfRule>
    <cfRule type="expression" dxfId="104" priority="147">
      <formula>$AQ$1="India"</formula>
    </cfRule>
    <cfRule type="expression" dxfId="103"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6:C99 J55:J147 Y172:BO269 C171:C269 Z52:AB52 M291:N294 J49 M296:N346 N295 I170 Y170:BO170 J50:J53 P48:S48 Z53:AB53 Y56:AB147 B48:B54 F170:G170 J48 AA48 Z49:AA49 Z50:AB50 Z51:AB51 B101:C147 B100 F172:G269 AC171:BO171 O171:W171 T99:U147 K170:W170 I172:W269 Z54:AB54 B55 Z55:AB5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abSelected="1" zoomScale="70" zoomScaleNormal="70" workbookViewId="0">
      <selection activeCell="H8" sqref="H8"/>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9.6328125" style="140"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AEM implementation for MathCodeInc</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45931</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3230</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3231</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3232</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4">
      <c r="A9" s="157"/>
      <c r="B9" s="158"/>
      <c r="C9" s="158"/>
      <c r="D9" s="158"/>
      <c r="E9" s="158"/>
      <c r="F9" s="158"/>
      <c r="G9" s="140" t="s">
        <v>3689</v>
      </c>
      <c r="H9" t="s">
        <v>3691</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801" t="s">
        <v>2173</v>
      </c>
      <c r="H10" s="1802"/>
      <c r="I10" s="1802"/>
      <c r="J10" s="1802"/>
      <c r="K10" s="1803"/>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3229</v>
      </c>
    </row>
    <row r="11" spans="1:94" s="161" customFormat="1" ht="38" thickBot="1" x14ac:dyDescent="0.4">
      <c r="A11" s="157"/>
      <c r="B11" s="158"/>
      <c r="C11" s="158"/>
      <c r="D11" s="158"/>
      <c r="E11" s="158"/>
      <c r="F11" s="158"/>
      <c r="G11" s="1804"/>
      <c r="H11" s="1805"/>
      <c r="I11" s="1805"/>
      <c r="J11" s="1805"/>
      <c r="K11" s="1806"/>
      <c r="M11" s="143" t="s">
        <v>2174</v>
      </c>
      <c r="N11" s="162">
        <f>'2. Roles &amp; Pricing'!E166</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7"/>
      <c r="H12" s="1808"/>
      <c r="I12" s="1808"/>
      <c r="J12" s="1808"/>
      <c r="K12" s="1809"/>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10" t="s">
        <v>1966</v>
      </c>
    </row>
    <row r="13" spans="1:94" s="161" customFormat="1" ht="27.5" thickBot="1" x14ac:dyDescent="0.4">
      <c r="A13" s="157"/>
      <c r="B13" s="158"/>
      <c r="C13" s="158"/>
      <c r="D13" s="158"/>
      <c r="E13" s="158"/>
      <c r="F13" s="158"/>
      <c r="G13" s="1812" t="s">
        <v>1967</v>
      </c>
      <c r="H13" s="1813"/>
      <c r="I13" s="1813"/>
      <c r="J13" s="1813"/>
      <c r="K13" s="1814"/>
      <c r="L13" s="1818" t="s">
        <v>1</v>
      </c>
      <c r="M13" s="1819"/>
      <c r="N13" s="166" t="s">
        <v>1968</v>
      </c>
      <c r="O13" s="1822" t="s">
        <v>1969</v>
      </c>
      <c r="P13" s="1822"/>
      <c r="Q13" s="1786"/>
      <c r="R13" s="1785" t="s">
        <v>1970</v>
      </c>
      <c r="S13" s="1786"/>
      <c r="T13" s="1785" t="s">
        <v>1971</v>
      </c>
      <c r="U13" s="1786"/>
      <c r="V13" s="1785" t="s">
        <v>1972</v>
      </c>
      <c r="W13" s="1822"/>
      <c r="X13" s="1822"/>
      <c r="Y13" s="1822"/>
      <c r="Z13" s="1822"/>
      <c r="AA13" s="1822"/>
      <c r="AB13" s="1822"/>
      <c r="AC13" s="1822"/>
      <c r="AD13" s="1822"/>
      <c r="AE13" s="1822"/>
      <c r="AF13" s="1822"/>
      <c r="AG13" s="1822"/>
      <c r="AH13" s="1822"/>
      <c r="AI13" s="1822"/>
      <c r="AJ13" s="1822"/>
      <c r="AK13" s="1822"/>
      <c r="AL13" s="1822"/>
      <c r="AM13" s="1822"/>
      <c r="AN13" s="1822"/>
      <c r="AO13" s="1822"/>
      <c r="AP13" s="1822"/>
      <c r="AQ13" s="1822"/>
      <c r="AR13" s="1822"/>
      <c r="AS13" s="1786"/>
      <c r="AT13" s="1785" t="s">
        <v>1973</v>
      </c>
      <c r="AU13" s="1786"/>
      <c r="AV13" s="1785" t="s">
        <v>1974</v>
      </c>
      <c r="AW13" s="1786"/>
      <c r="AX13" s="1785" t="s">
        <v>1975</v>
      </c>
      <c r="AY13" s="1786"/>
      <c r="AZ13" s="1785" t="s">
        <v>1976</v>
      </c>
      <c r="BA13" s="1786"/>
      <c r="BB13" s="1785" t="s">
        <v>1977</v>
      </c>
      <c r="BC13" s="1786"/>
      <c r="BD13" s="1785" t="s">
        <v>1973</v>
      </c>
      <c r="BE13" s="1786"/>
      <c r="BF13" s="1785" t="s">
        <v>1974</v>
      </c>
      <c r="BG13" s="1786"/>
      <c r="BH13" s="1785" t="s">
        <v>1975</v>
      </c>
      <c r="BI13" s="1786"/>
      <c r="BJ13" s="1785" t="s">
        <v>1976</v>
      </c>
      <c r="BK13" s="1786"/>
      <c r="BL13" s="1785" t="s">
        <v>1977</v>
      </c>
      <c r="BM13" s="1786"/>
      <c r="BN13" s="161" t="s">
        <v>2201</v>
      </c>
      <c r="BO13" s="161" t="s">
        <v>2200</v>
      </c>
      <c r="BR13" s="1811"/>
      <c r="BS13" s="1787" t="s">
        <v>2175</v>
      </c>
      <c r="BT13" s="1788"/>
      <c r="BU13" s="167"/>
    </row>
    <row r="14" spans="1:94" s="161" customFormat="1" ht="27.5" thickBot="1" x14ac:dyDescent="0.4">
      <c r="A14" s="157"/>
      <c r="B14" s="158"/>
      <c r="C14" s="158"/>
      <c r="D14" s="158"/>
      <c r="E14" s="158"/>
      <c r="F14" s="158"/>
      <c r="G14" s="1815"/>
      <c r="H14" s="1816"/>
      <c r="I14" s="1816"/>
      <c r="J14" s="1816"/>
      <c r="K14" s="1817"/>
      <c r="L14" s="1820"/>
      <c r="M14" s="1821"/>
      <c r="N14" s="168" t="s">
        <v>1978</v>
      </c>
      <c r="O14" s="1791" t="s">
        <v>1979</v>
      </c>
      <c r="P14" s="1791"/>
      <c r="Q14" s="1792"/>
      <c r="R14" s="1793" t="s">
        <v>1980</v>
      </c>
      <c r="S14" s="1794"/>
      <c r="T14" s="1793" t="s">
        <v>1980</v>
      </c>
      <c r="U14" s="1794"/>
      <c r="V14" s="1793" t="s">
        <v>1980</v>
      </c>
      <c r="W14" s="1795"/>
      <c r="X14" s="1795"/>
      <c r="Y14" s="1795"/>
      <c r="Z14" s="1795"/>
      <c r="AA14" s="1795"/>
      <c r="AB14" s="1795"/>
      <c r="AC14" s="1795"/>
      <c r="AD14" s="1795"/>
      <c r="AE14" s="1795"/>
      <c r="AF14" s="1795"/>
      <c r="AG14" s="1795"/>
      <c r="AH14" s="1795"/>
      <c r="AI14" s="1795"/>
      <c r="AJ14" s="1795"/>
      <c r="AK14" s="1795"/>
      <c r="AL14" s="1795"/>
      <c r="AM14" s="1795"/>
      <c r="AN14" s="1795"/>
      <c r="AO14" s="1795"/>
      <c r="AP14" s="1795"/>
      <c r="AQ14" s="1795"/>
      <c r="AR14" s="1795"/>
      <c r="AS14" s="1794"/>
      <c r="AT14" s="1793" t="s">
        <v>1980</v>
      </c>
      <c r="AU14" s="1794"/>
      <c r="AV14" s="1793" t="s">
        <v>1980</v>
      </c>
      <c r="AW14" s="1794"/>
      <c r="AX14" s="1793" t="s">
        <v>1980</v>
      </c>
      <c r="AY14" s="1794"/>
      <c r="AZ14" s="1796" t="s">
        <v>1981</v>
      </c>
      <c r="BA14" s="1797"/>
      <c r="BB14" s="1796" t="s">
        <v>1982</v>
      </c>
      <c r="BC14" s="1797"/>
      <c r="BD14" s="1793" t="s">
        <v>1980</v>
      </c>
      <c r="BE14" s="1794"/>
      <c r="BF14" s="1793" t="s">
        <v>1980</v>
      </c>
      <c r="BG14" s="1794"/>
      <c r="BH14" s="1793" t="s">
        <v>1980</v>
      </c>
      <c r="BI14" s="1794"/>
      <c r="BJ14" s="1796" t="s">
        <v>1981</v>
      </c>
      <c r="BK14" s="1797"/>
      <c r="BL14" s="1796" t="s">
        <v>1982</v>
      </c>
      <c r="BM14" s="1797"/>
      <c r="BN14" s="1798" t="s">
        <v>1983</v>
      </c>
      <c r="BO14" s="1799"/>
      <c r="BP14" s="1799"/>
      <c r="BQ14" s="1799"/>
      <c r="BR14" s="1800"/>
      <c r="BS14" s="1789"/>
      <c r="BT14" s="1790"/>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.NET__Sitecore</v>
      </c>
      <c r="D16" s="193" t="str">
        <f t="shared" ref="D16:D33" si="47">G16&amp;"__"&amp;H16&amp;"__"&amp;I16</f>
        <v>.NET__Sitecore__Sitecore</v>
      </c>
      <c r="E16" s="193">
        <v>21</v>
      </c>
      <c r="F16" s="193">
        <v>8</v>
      </c>
      <c r="G16" s="194" t="str">
        <f>'2. Roles &amp; Pricing'!D48</f>
        <v>.NET</v>
      </c>
      <c r="H16" s="194" t="str">
        <f>'2. Roles &amp; Pricing'!F48</f>
        <v>Sitecore</v>
      </c>
      <c r="I16" s="194" t="str">
        <f>'2. Roles &amp; Pricing'!F48</f>
        <v>Sitecore</v>
      </c>
      <c r="J16" s="196" t="str">
        <f>'2. Roles &amp; Pricing'!K48</f>
        <v>Sr. Developer</v>
      </c>
      <c r="K16" s="197" t="str">
        <f>'2. Roles &amp; Pricing'!W48</f>
        <v>Offshore</v>
      </c>
      <c r="L16" s="195"/>
      <c r="M16" s="196"/>
      <c r="N16" s="707">
        <f>IFERROR('2. Roles &amp; Pricing'!F170/40,"")</f>
        <v>1</v>
      </c>
      <c r="O16" s="707">
        <f>IFERROR('2. Roles &amp; Pricing'!I170/40,"")</f>
        <v>1</v>
      </c>
      <c r="P16" s="707">
        <f>IFERROR('2. Roles &amp; Pricing'!K170/40,"")</f>
        <v>1</v>
      </c>
      <c r="Q16" s="707">
        <f>IFERROR('2. Roles &amp; Pricing'!L170/40,"")</f>
        <v>1</v>
      </c>
      <c r="R16" s="707">
        <f>IFERROR('2. Roles &amp; Pricing'!M170/40,"")</f>
        <v>1</v>
      </c>
      <c r="S16" s="1619">
        <f>IFERROR('2. Roles &amp; Pricing'!N170/40,"")</f>
        <v>1</v>
      </c>
      <c r="T16" s="707">
        <f>IFERROR('2. Roles &amp; Pricing'!O170/40,"")</f>
        <v>1</v>
      </c>
      <c r="U16" s="709">
        <f>IFERROR('2. Roles &amp; Pricing'!P170/40,"")</f>
        <v>1</v>
      </c>
      <c r="V16" s="709">
        <f>IFERROR('2. Roles &amp; Pricing'!Q170/40,"")</f>
        <v>1</v>
      </c>
      <c r="W16" s="709">
        <f>IFERROR('2. Roles &amp; Pricing'!R170/40,"")</f>
        <v>1</v>
      </c>
      <c r="X16" s="708">
        <f>IFERROR('2. Roles &amp; Pricing'!S170/40,"")</f>
        <v>1</v>
      </c>
      <c r="Y16" s="708">
        <f>IFERROR('2. Roles &amp; Pricing'!T170/40,"")</f>
        <v>1</v>
      </c>
      <c r="Z16" s="708">
        <f>IFERROR('2. Roles &amp; Pricing'!U170/40,"")</f>
        <v>1</v>
      </c>
      <c r="AA16" s="708">
        <f>IFERROR('2. Roles &amp; Pricing'!Y170/40,"")</f>
        <v>1</v>
      </c>
      <c r="AB16" s="708">
        <f>IFERROR('2. Roles &amp; Pricing'!Z170/40,"")</f>
        <v>1</v>
      </c>
      <c r="AC16" s="708">
        <f>IFERROR('2. Roles &amp; Pricing'!AA170/40,"")</f>
        <v>1</v>
      </c>
      <c r="AD16" s="708">
        <f>IFERROR('2. Roles &amp; Pricing'!AB170/40,"")</f>
        <v>1</v>
      </c>
      <c r="AE16" s="708">
        <f>IFERROR('2. Roles &amp; Pricing'!AG170/40,"")</f>
        <v>1</v>
      </c>
      <c r="AF16" s="708">
        <f>IFERROR('2. Roles &amp; Pricing'!AH170/40,"")</f>
        <v>1</v>
      </c>
      <c r="AG16" s="708">
        <f>IFERROR('2. Roles &amp; Pricing'!AI170/40,"")</f>
        <v>1</v>
      </c>
      <c r="AH16" s="708">
        <f>IFERROR('2. Roles &amp; Pricing'!AJ170/40,"")</f>
        <v>1</v>
      </c>
      <c r="AI16" s="708">
        <f>IFERROR('2. Roles &amp; Pricing'!AK170/40,"")</f>
        <v>1</v>
      </c>
      <c r="AJ16" s="708">
        <f>IFERROR('2. Roles &amp; Pricing'!AL170/40,"")</f>
        <v>1</v>
      </c>
      <c r="AK16" s="708">
        <f>IFERROR('2. Roles &amp; Pricing'!AM170/40,"")</f>
        <v>1</v>
      </c>
      <c r="AL16" s="708">
        <f>IFERROR('2. Roles &amp; Pricing'!AN170/40,"")</f>
        <v>1</v>
      </c>
      <c r="AM16" s="708">
        <f>IFERROR('2. Roles &amp; Pricing'!AO170/40,"")</f>
        <v>1</v>
      </c>
      <c r="AN16" s="708">
        <f>IFERROR('2. Roles &amp; Pricing'!AP170/40,"")</f>
        <v>1</v>
      </c>
      <c r="AO16" s="708">
        <f>IFERROR('2. Roles &amp; Pricing'!AQ170/40,"")</f>
        <v>1</v>
      </c>
      <c r="AP16" s="708">
        <f>IFERROR('2. Roles &amp; Pricing'!AR170/40,"")</f>
        <v>1</v>
      </c>
      <c r="AQ16" s="708">
        <f>IFERROR('2. Roles &amp; Pricing'!AS170/40,"")</f>
        <v>1</v>
      </c>
      <c r="AR16" s="708" t="str">
        <f>IFERROR('2. Roles &amp; Pricing'!AT170/40,"")</f>
        <v/>
      </c>
      <c r="AS16" s="708" t="str">
        <f>IFERROR('2. Roles &amp; Pricing'!AU170/40,"")</f>
        <v/>
      </c>
      <c r="AT16" s="708" t="str">
        <f>IFERROR('2. Roles &amp; Pricing'!AV170/40,"")</f>
        <v/>
      </c>
      <c r="AU16" s="708" t="str">
        <f>IFERROR('2. Roles &amp; Pricing'!AW170/40,"")</f>
        <v/>
      </c>
      <c r="AV16" s="708" t="str">
        <f>IFERROR('2. Roles &amp; Pricing'!AX170/40,"")</f>
        <v/>
      </c>
      <c r="AW16" s="708" t="str">
        <f>IFERROR('2. Roles &amp; Pricing'!AY170/40,"")</f>
        <v/>
      </c>
      <c r="AX16" s="708" t="str">
        <f>IFERROR('2. Roles &amp; Pricing'!AZ170/40,"")</f>
        <v/>
      </c>
      <c r="AY16" s="708" t="str">
        <f>IFERROR('2. Roles &amp; Pricing'!BA170/40,"")</f>
        <v/>
      </c>
      <c r="AZ16" s="708" t="str">
        <f>IFERROR('2. Roles &amp; Pricing'!BB170/40,"")</f>
        <v/>
      </c>
      <c r="BA16" s="708" t="str">
        <f>IFERROR('2. Roles &amp; Pricing'!BC170/40,"")</f>
        <v/>
      </c>
      <c r="BB16" s="708" t="str">
        <f>IFERROR('2. Roles &amp; Pricing'!BD170/40,"")</f>
        <v/>
      </c>
      <c r="BC16" s="708" t="str">
        <f>IFERROR('2. Roles &amp; Pricing'!BE170/40,"")</f>
        <v/>
      </c>
      <c r="BD16" s="708" t="str">
        <f>IFERROR('2. Roles &amp; Pricing'!BF170/40,"")</f>
        <v/>
      </c>
      <c r="BE16" s="708" t="str">
        <f>IFERROR('2. Roles &amp; Pricing'!BG170/40,"")</f>
        <v/>
      </c>
      <c r="BF16" s="708" t="str">
        <f>IFERROR('2. Roles &amp; Pricing'!BH170/40,"")</f>
        <v/>
      </c>
      <c r="BG16" s="708" t="str">
        <f>IFERROR('2. Roles &amp; Pricing'!BI170/40,"")</f>
        <v/>
      </c>
      <c r="BH16" s="708" t="str">
        <f>IFERROR('2. Roles &amp; Pricing'!BJ170/40,"")</f>
        <v/>
      </c>
      <c r="BI16" s="708" t="str">
        <f>IFERROR('2. Roles &amp; Pricing'!BK170/40,"")</f>
        <v/>
      </c>
      <c r="BJ16" s="708" t="str">
        <f>IFERROR('2. Roles &amp; Pricing'!BL170/40,"")</f>
        <v/>
      </c>
      <c r="BK16" s="708" t="str">
        <f>IFERROR('2. Roles &amp; Pricing'!BM170/40,"")</f>
        <v/>
      </c>
      <c r="BL16" s="708" t="str">
        <f>IFERROR('2. Roles &amp; Pricing'!BN170/40,"")</f>
        <v/>
      </c>
      <c r="BM16" s="708" t="str">
        <f>IFERROR('2. Roles &amp; Pricing'!BO170/40,"")</f>
        <v/>
      </c>
      <c r="BN16" s="626">
        <f>SUM(N16:BM16)</f>
        <v>30</v>
      </c>
      <c r="BO16" s="198">
        <f>+BN16*5</f>
        <v>150</v>
      </c>
      <c r="BP16" s="199">
        <f>'2. Roles &amp; Pricing'!D291</f>
        <v>78000</v>
      </c>
      <c r="BQ16" s="199">
        <f>'2. Roles &amp; Pricing'!F291</f>
        <v>65</v>
      </c>
      <c r="BR16" s="623">
        <f>'2. Roles &amp; Pricing'!F291</f>
        <v>65</v>
      </c>
      <c r="BS16" s="200">
        <f>'2. Roles &amp; Pricing'!I291</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str">
        <f t="shared" si="46"/>
        <v>.NET__Sitecore</v>
      </c>
      <c r="D17" s="207" t="str">
        <f t="shared" si="47"/>
        <v>.NET__Sitecore__Sitecore</v>
      </c>
      <c r="E17" s="207">
        <v>21</v>
      </c>
      <c r="F17" s="207">
        <v>8</v>
      </c>
      <c r="G17" s="208" t="str">
        <f>'2. Roles &amp; Pricing'!D49</f>
        <v>.NET</v>
      </c>
      <c r="H17" s="194" t="str">
        <f>'2. Roles &amp; Pricing'!F49</f>
        <v>Sitecore</v>
      </c>
      <c r="I17" s="210" t="str">
        <f>'2. Roles &amp; Pricing'!F49</f>
        <v>Sitecore</v>
      </c>
      <c r="J17" s="210" t="str">
        <f>'2. Roles &amp; Pricing'!K49</f>
        <v>Technical Lead</v>
      </c>
      <c r="K17" s="197" t="str">
        <f>'2. Roles &amp; Pricing'!W49</f>
        <v>Offshore</v>
      </c>
      <c r="L17" s="209"/>
      <c r="M17" s="210"/>
      <c r="N17" s="707">
        <f>IFERROR('2. Roles &amp; Pricing'!F171/40,"")</f>
        <v>0.5</v>
      </c>
      <c r="O17" s="707">
        <f>IFERROR('2. Roles &amp; Pricing'!I171/40,"")</f>
        <v>0.5</v>
      </c>
      <c r="P17" s="707">
        <f>IFERROR('2. Roles &amp; Pricing'!K171/40,"")</f>
        <v>0.5</v>
      </c>
      <c r="Q17" s="707">
        <f>IFERROR('2. Roles &amp; Pricing'!L171/40,"")</f>
        <v>0.5</v>
      </c>
      <c r="R17" s="707">
        <f>IFERROR('2. Roles &amp; Pricing'!M171/40,"")</f>
        <v>1</v>
      </c>
      <c r="S17" s="707">
        <f>IFERROR('2. Roles &amp; Pricing'!N171/40,"")</f>
        <v>1</v>
      </c>
      <c r="T17" s="707">
        <f>IFERROR('2. Roles &amp; Pricing'!O171/40,"")</f>
        <v>1</v>
      </c>
      <c r="U17" s="709">
        <f>IFERROR('2. Roles &amp; Pricing'!P171/40,"")</f>
        <v>1</v>
      </c>
      <c r="V17" s="709">
        <f>IFERROR('2. Roles &amp; Pricing'!Q171/40,"")</f>
        <v>1</v>
      </c>
      <c r="W17" s="709">
        <f>IFERROR('2. Roles &amp; Pricing'!R171/40,"")</f>
        <v>1</v>
      </c>
      <c r="X17" s="708">
        <f>IFERROR('2. Roles &amp; Pricing'!S171/40,"")</f>
        <v>1</v>
      </c>
      <c r="Y17" s="708">
        <f>IFERROR('2. Roles &amp; Pricing'!T171/40,"")</f>
        <v>1</v>
      </c>
      <c r="Z17" s="708">
        <f>IFERROR('2. Roles &amp; Pricing'!U171/40,"")</f>
        <v>1</v>
      </c>
      <c r="AA17" s="708">
        <f>IFERROR('2. Roles &amp; Pricing'!Y171/40,"")</f>
        <v>0</v>
      </c>
      <c r="AB17" s="708">
        <f>IFERROR('2. Roles &amp; Pricing'!Z171/40,"")</f>
        <v>0</v>
      </c>
      <c r="AC17" s="708">
        <f>IFERROR('2. Roles &amp; Pricing'!AA171/40,"")</f>
        <v>0</v>
      </c>
      <c r="AD17" s="708">
        <f>IFERROR('2. Roles &amp; Pricing'!AB171/40,"")</f>
        <v>0</v>
      </c>
      <c r="AE17" s="708">
        <f>IFERROR('2. Roles &amp; Pricing'!AG171/40,"")</f>
        <v>1</v>
      </c>
      <c r="AF17" s="708">
        <f>IFERROR('2. Roles &amp; Pricing'!AH171/40,"")</f>
        <v>1</v>
      </c>
      <c r="AG17" s="708">
        <f>IFERROR('2. Roles &amp; Pricing'!AI171/40,"")</f>
        <v>1</v>
      </c>
      <c r="AH17" s="708">
        <f>IFERROR('2. Roles &amp; Pricing'!AJ171/40,"")</f>
        <v>1</v>
      </c>
      <c r="AI17" s="708">
        <f>IFERROR('2. Roles &amp; Pricing'!AK171/40,"")</f>
        <v>1</v>
      </c>
      <c r="AJ17" s="708">
        <f>IFERROR('2. Roles &amp; Pricing'!AL171/40,"")</f>
        <v>1</v>
      </c>
      <c r="AK17" s="708">
        <f>IFERROR('2. Roles &amp; Pricing'!AM171/40,"")</f>
        <v>1</v>
      </c>
      <c r="AL17" s="708">
        <f>IFERROR('2. Roles &amp; Pricing'!AN171/40,"")</f>
        <v>1</v>
      </c>
      <c r="AM17" s="708">
        <f>IFERROR('2. Roles &amp; Pricing'!AO171/40,"")</f>
        <v>1</v>
      </c>
      <c r="AN17" s="708">
        <f>IFERROR('2. Roles &amp; Pricing'!AP171/40,"")</f>
        <v>1</v>
      </c>
      <c r="AO17" s="708">
        <f>IFERROR('2. Roles &amp; Pricing'!AQ171/40,"")</f>
        <v>1</v>
      </c>
      <c r="AP17" s="708">
        <f>IFERROR('2. Roles &amp; Pricing'!AR171/40,"")</f>
        <v>1</v>
      </c>
      <c r="AQ17" s="708">
        <f>IFERROR('2. Roles &amp; Pricing'!AS171/40,"")</f>
        <v>1</v>
      </c>
      <c r="AR17" s="708" t="str">
        <f>IFERROR('2. Roles &amp; Pricing'!AT171/40,"")</f>
        <v/>
      </c>
      <c r="AS17" s="708" t="str">
        <f>IFERROR('2. Roles &amp; Pricing'!AU171/40,"")</f>
        <v/>
      </c>
      <c r="AT17" s="708" t="str">
        <f>IFERROR('2. Roles &amp; Pricing'!AV171/40,"")</f>
        <v/>
      </c>
      <c r="AU17" s="708" t="str">
        <f>IFERROR('2. Roles &amp; Pricing'!AW171/40,"")</f>
        <v/>
      </c>
      <c r="AV17" s="708" t="str">
        <f>IFERROR('2. Roles &amp; Pricing'!AX171/40,"")</f>
        <v/>
      </c>
      <c r="AW17" s="708" t="str">
        <f>IFERROR('2. Roles &amp; Pricing'!AY171/40,"")</f>
        <v/>
      </c>
      <c r="AX17" s="708" t="str">
        <f>IFERROR('2. Roles &amp; Pricing'!AZ171/40,"")</f>
        <v/>
      </c>
      <c r="AY17" s="708" t="str">
        <f>IFERROR('2. Roles &amp; Pricing'!BA171/40,"")</f>
        <v/>
      </c>
      <c r="AZ17" s="708" t="str">
        <f>IFERROR('2. Roles &amp; Pricing'!BB171/40,"")</f>
        <v/>
      </c>
      <c r="BA17" s="708" t="str">
        <f>IFERROR('2. Roles &amp; Pricing'!BC171/40,"")</f>
        <v/>
      </c>
      <c r="BB17" s="708" t="str">
        <f>IFERROR('2. Roles &amp; Pricing'!BD171/40,"")</f>
        <v/>
      </c>
      <c r="BC17" s="708" t="str">
        <f>IFERROR('2. Roles &amp; Pricing'!BE171/40,"")</f>
        <v/>
      </c>
      <c r="BD17" s="708" t="str">
        <f>IFERROR('2. Roles &amp; Pricing'!BF171/40,"")</f>
        <v/>
      </c>
      <c r="BE17" s="708" t="str">
        <f>IFERROR('2. Roles &amp; Pricing'!BG171/40,"")</f>
        <v/>
      </c>
      <c r="BF17" s="708" t="str">
        <f>IFERROR('2. Roles &amp; Pricing'!BH171/40,"")</f>
        <v/>
      </c>
      <c r="BG17" s="708" t="str">
        <f>IFERROR('2. Roles &amp; Pricing'!BI171/40,"")</f>
        <v/>
      </c>
      <c r="BH17" s="708" t="str">
        <f>IFERROR('2. Roles &amp; Pricing'!BJ171/40,"")</f>
        <v/>
      </c>
      <c r="BI17" s="708" t="str">
        <f>IFERROR('2. Roles &amp; Pricing'!BK171/40,"")</f>
        <v/>
      </c>
      <c r="BJ17" s="708" t="str">
        <f>IFERROR('2. Roles &amp; Pricing'!BL171/40,"")</f>
        <v/>
      </c>
      <c r="BK17" s="708" t="str">
        <f>IFERROR('2. Roles &amp; Pricing'!BM171/40,"")</f>
        <v/>
      </c>
      <c r="BL17" s="708" t="str">
        <f>IFERROR('2. Roles &amp; Pricing'!BN171/40,"")</f>
        <v/>
      </c>
      <c r="BM17" s="708" t="str">
        <f>IFERROR('2. Roles &amp; Pricing'!BO171/40,"")</f>
        <v/>
      </c>
      <c r="BN17" s="212">
        <f t="shared" ref="BN17:BN33" si="49">SUM(N17:BM17)</f>
        <v>24</v>
      </c>
      <c r="BO17" s="213">
        <f t="shared" ref="BO17:BO33" si="50">+BN17*5</f>
        <v>120</v>
      </c>
      <c r="BP17" s="199">
        <f>'2. Roles &amp; Pricing'!D292</f>
        <v>81600</v>
      </c>
      <c r="BQ17" s="199">
        <f>'2. Roles &amp; Pricing'!F292</f>
        <v>85</v>
      </c>
      <c r="BR17" s="623">
        <f>'2. Roles &amp; Pricing'!F292</f>
        <v>85</v>
      </c>
      <c r="BS17" s="200">
        <f>'2. Roles &amp; Pricing'!I292</f>
        <v>85</v>
      </c>
      <c r="BT17" s="201">
        <f t="shared" ref="BT17:BT33" si="51">BP17</f>
        <v>81600</v>
      </c>
      <c r="BU17" s="214">
        <f t="shared" si="48"/>
        <v>960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str">
        <f t="shared" si="46"/>
        <v>Adobe__Experience Management</v>
      </c>
      <c r="D18" s="207" t="str">
        <f t="shared" si="47"/>
        <v>Adobe__Experience Management__Experience Management</v>
      </c>
      <c r="E18" s="207">
        <v>20</v>
      </c>
      <c r="F18" s="207">
        <v>10</v>
      </c>
      <c r="G18" s="208" t="str">
        <f>'2. Roles &amp; Pricing'!D50</f>
        <v>Adobe</v>
      </c>
      <c r="H18" s="194" t="str">
        <f>'2. Roles &amp; Pricing'!F50</f>
        <v>Experience Management</v>
      </c>
      <c r="I18" s="210" t="str">
        <f>'2. Roles &amp; Pricing'!F50</f>
        <v>Experience Management</v>
      </c>
      <c r="J18" s="210" t="str">
        <f>'2. Roles &amp; Pricing'!K50</f>
        <v>Technical Lead</v>
      </c>
      <c r="K18" s="197" t="str">
        <f>'2. Roles &amp; Pricing'!W50</f>
        <v>Onshore</v>
      </c>
      <c r="L18" s="209"/>
      <c r="M18" s="210"/>
      <c r="N18" s="707">
        <f>IFERROR('2. Roles &amp; Pricing'!F172/40,"")</f>
        <v>1</v>
      </c>
      <c r="O18" s="707">
        <f>IFERROR('2. Roles &amp; Pricing'!I172/40,"")</f>
        <v>1</v>
      </c>
      <c r="P18" s="707">
        <f>IFERROR('2. Roles &amp; Pricing'!K172/40,"")</f>
        <v>1</v>
      </c>
      <c r="Q18" s="707">
        <f>IFERROR('2. Roles &amp; Pricing'!L172/40,"")</f>
        <v>1</v>
      </c>
      <c r="R18" s="707">
        <f>IFERROR('2. Roles &amp; Pricing'!M172/40,"")</f>
        <v>1</v>
      </c>
      <c r="S18" s="707">
        <f>IFERROR('2. Roles &amp; Pricing'!N172/40,"")</f>
        <v>1</v>
      </c>
      <c r="T18" s="707">
        <f>IFERROR('2. Roles &amp; Pricing'!O172/40,"")</f>
        <v>1</v>
      </c>
      <c r="U18" s="709">
        <f>IFERROR('2. Roles &amp; Pricing'!P172/40,"")</f>
        <v>1</v>
      </c>
      <c r="V18" s="709">
        <f>IFERROR('2. Roles &amp; Pricing'!Q172/40,"")</f>
        <v>1</v>
      </c>
      <c r="W18" s="709">
        <f>IFERROR('2. Roles &amp; Pricing'!R172/40,"")</f>
        <v>1</v>
      </c>
      <c r="X18" s="708">
        <f>IFERROR('2. Roles &amp; Pricing'!S172/40,"")</f>
        <v>1</v>
      </c>
      <c r="Y18" s="708">
        <f>IFERROR('2. Roles &amp; Pricing'!T172/40,"")</f>
        <v>1</v>
      </c>
      <c r="Z18" s="708">
        <f>IFERROR('2. Roles &amp; Pricing'!U172/40,"")</f>
        <v>1</v>
      </c>
      <c r="AA18" s="708">
        <f>IFERROR('2. Roles &amp; Pricing'!Y172/40,"")</f>
        <v>1</v>
      </c>
      <c r="AB18" s="708">
        <f>IFERROR('2. Roles &amp; Pricing'!Z172/40,"")</f>
        <v>1</v>
      </c>
      <c r="AC18" s="708">
        <f>IFERROR('2. Roles &amp; Pricing'!AA172/40,"")</f>
        <v>1</v>
      </c>
      <c r="AD18" s="708">
        <f>IFERROR('2. Roles &amp; Pricing'!AB172/40,"")</f>
        <v>1</v>
      </c>
      <c r="AE18" s="708">
        <f>IFERROR('2. Roles &amp; Pricing'!AG172/40,"")</f>
        <v>1</v>
      </c>
      <c r="AF18" s="708">
        <f>IFERROR('2. Roles &amp; Pricing'!AH172/40,"")</f>
        <v>1</v>
      </c>
      <c r="AG18" s="708">
        <f>IFERROR('2. Roles &amp; Pricing'!AI172/40,"")</f>
        <v>1</v>
      </c>
      <c r="AH18" s="708">
        <f>IFERROR('2. Roles &amp; Pricing'!AJ172/40,"")</f>
        <v>1</v>
      </c>
      <c r="AI18" s="708">
        <f>IFERROR('2. Roles &amp; Pricing'!AK172/40,"")</f>
        <v>1</v>
      </c>
      <c r="AJ18" s="708">
        <f>IFERROR('2. Roles &amp; Pricing'!AL172/40,"")</f>
        <v>1</v>
      </c>
      <c r="AK18" s="708">
        <f>IFERROR('2. Roles &amp; Pricing'!AM172/40,"")</f>
        <v>1</v>
      </c>
      <c r="AL18" s="708">
        <f>IFERROR('2. Roles &amp; Pricing'!AN172/40,"")</f>
        <v>1</v>
      </c>
      <c r="AM18" s="708">
        <f>IFERROR('2. Roles &amp; Pricing'!AO172/40,"")</f>
        <v>1</v>
      </c>
      <c r="AN18" s="708">
        <f>IFERROR('2. Roles &amp; Pricing'!AP172/40,"")</f>
        <v>1</v>
      </c>
      <c r="AO18" s="708">
        <f>IFERROR('2. Roles &amp; Pricing'!AQ172/40,"")</f>
        <v>1</v>
      </c>
      <c r="AP18" s="708">
        <f>IFERROR('2. Roles &amp; Pricing'!AR172/40,"")</f>
        <v>1</v>
      </c>
      <c r="AQ18" s="708">
        <f>IFERROR('2. Roles &amp; Pricing'!AS172/40,"")</f>
        <v>1</v>
      </c>
      <c r="AR18" s="708" t="str">
        <f>IFERROR('2. Roles &amp; Pricing'!AT172/40,"")</f>
        <v/>
      </c>
      <c r="AS18" s="708" t="str">
        <f>IFERROR('2. Roles &amp; Pricing'!AU172/40,"")</f>
        <v/>
      </c>
      <c r="AT18" s="708" t="str">
        <f>IFERROR('2. Roles &amp; Pricing'!AV172/40,"")</f>
        <v/>
      </c>
      <c r="AU18" s="708" t="str">
        <f>IFERROR('2. Roles &amp; Pricing'!AW172/40,"")</f>
        <v/>
      </c>
      <c r="AV18" s="708" t="str">
        <f>IFERROR('2. Roles &amp; Pricing'!AX172/40,"")</f>
        <v/>
      </c>
      <c r="AW18" s="708" t="str">
        <f>IFERROR('2. Roles &amp; Pricing'!AY172/40,"")</f>
        <v/>
      </c>
      <c r="AX18" s="708" t="str">
        <f>IFERROR('2. Roles &amp; Pricing'!AZ172/40,"")</f>
        <v/>
      </c>
      <c r="AY18" s="708" t="str">
        <f>IFERROR('2. Roles &amp; Pricing'!BA172/40,"")</f>
        <v/>
      </c>
      <c r="AZ18" s="708" t="str">
        <f>IFERROR('2. Roles &amp; Pricing'!BB172/40,"")</f>
        <v/>
      </c>
      <c r="BA18" s="708" t="str">
        <f>IFERROR('2. Roles &amp; Pricing'!BC172/40,"")</f>
        <v/>
      </c>
      <c r="BB18" s="708" t="str">
        <f>IFERROR('2. Roles &amp; Pricing'!BD172/40,"")</f>
        <v/>
      </c>
      <c r="BC18" s="708" t="str">
        <f>IFERROR('2. Roles &amp; Pricing'!BE172/40,"")</f>
        <v/>
      </c>
      <c r="BD18" s="708" t="str">
        <f>IFERROR('2. Roles &amp; Pricing'!BF172/40,"")</f>
        <v/>
      </c>
      <c r="BE18" s="708" t="str">
        <f>IFERROR('2. Roles &amp; Pricing'!BG172/40,"")</f>
        <v/>
      </c>
      <c r="BF18" s="708" t="str">
        <f>IFERROR('2. Roles &amp; Pricing'!BH172/40,"")</f>
        <v/>
      </c>
      <c r="BG18" s="708" t="str">
        <f>IFERROR('2. Roles &amp; Pricing'!BI172/40,"")</f>
        <v/>
      </c>
      <c r="BH18" s="708" t="str">
        <f>IFERROR('2. Roles &amp; Pricing'!BJ172/40,"")</f>
        <v/>
      </c>
      <c r="BI18" s="708" t="str">
        <f>IFERROR('2. Roles &amp; Pricing'!BK172/40,"")</f>
        <v/>
      </c>
      <c r="BJ18" s="708" t="str">
        <f>IFERROR('2. Roles &amp; Pricing'!BL172/40,"")</f>
        <v/>
      </c>
      <c r="BK18" s="708" t="str">
        <f>IFERROR('2. Roles &amp; Pricing'!BM172/40,"")</f>
        <v/>
      </c>
      <c r="BL18" s="708" t="str">
        <f>IFERROR('2. Roles &amp; Pricing'!BN172/40,"")</f>
        <v/>
      </c>
      <c r="BM18" s="708" t="str">
        <f>IFERROR('2. Roles &amp; Pricing'!BO172/40,"")</f>
        <v/>
      </c>
      <c r="BN18" s="212">
        <f t="shared" si="49"/>
        <v>30</v>
      </c>
      <c r="BO18" s="213">
        <f t="shared" si="50"/>
        <v>150</v>
      </c>
      <c r="BP18" s="199">
        <f>'2. Roles &amp; Pricing'!D293</f>
        <v>222000</v>
      </c>
      <c r="BQ18" s="199">
        <f>'2. Roles &amp; Pricing'!F293</f>
        <v>185</v>
      </c>
      <c r="BR18" s="623">
        <f>'2. Roles &amp; Pricing'!F293</f>
        <v>185</v>
      </c>
      <c r="BS18" s="200">
        <f>'2. Roles &amp; Pricing'!I293</f>
        <v>185</v>
      </c>
      <c r="BT18" s="201">
        <f t="shared" si="51"/>
        <v>222000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str">
        <f t="shared" si="46"/>
        <v>Experience Design__Design</v>
      </c>
      <c r="D19" s="207" t="str">
        <f t="shared" si="47"/>
        <v>Experience Design__Design__Design</v>
      </c>
      <c r="E19" s="207">
        <v>21</v>
      </c>
      <c r="F19" s="207">
        <v>8</v>
      </c>
      <c r="G19" s="208" t="str">
        <f>'2. Roles &amp; Pricing'!D51</f>
        <v>Experience Design</v>
      </c>
      <c r="H19" s="194" t="str">
        <f>'2. Roles &amp; Pricing'!F51</f>
        <v>Design</v>
      </c>
      <c r="I19" s="210" t="str">
        <f>'2. Roles &amp; Pricing'!F51</f>
        <v>Design</v>
      </c>
      <c r="J19" s="210" t="str">
        <f>'2. Roles &amp; Pricing'!K51</f>
        <v>UX Designer</v>
      </c>
      <c r="K19" s="197" t="str">
        <f>'2. Roles &amp; Pricing'!W51</f>
        <v>Onshore</v>
      </c>
      <c r="L19" s="209"/>
      <c r="M19" s="210"/>
      <c r="N19" s="707">
        <f>IFERROR('2. Roles &amp; Pricing'!F173/40,"")</f>
        <v>1</v>
      </c>
      <c r="O19" s="707">
        <f>IFERROR('2. Roles &amp; Pricing'!I173/40,"")</f>
        <v>1</v>
      </c>
      <c r="P19" s="707">
        <f>IFERROR('2. Roles &amp; Pricing'!K173/40,"")</f>
        <v>1</v>
      </c>
      <c r="Q19" s="707">
        <f>IFERROR('2. Roles &amp; Pricing'!L173/40,"")</f>
        <v>1</v>
      </c>
      <c r="R19" s="707">
        <f>IFERROR('2. Roles &amp; Pricing'!M173/40,"")</f>
        <v>1</v>
      </c>
      <c r="S19" s="707">
        <f>IFERROR('2. Roles &amp; Pricing'!N173/40,"")</f>
        <v>1</v>
      </c>
      <c r="T19" s="707">
        <f>IFERROR('2. Roles &amp; Pricing'!O173/40,"")</f>
        <v>1</v>
      </c>
      <c r="U19" s="709">
        <f>IFERROR('2. Roles &amp; Pricing'!P173/40,"")</f>
        <v>1</v>
      </c>
      <c r="V19" s="709">
        <f>IFERROR('2. Roles &amp; Pricing'!Q173/40,"")</f>
        <v>1</v>
      </c>
      <c r="W19" s="709">
        <f>IFERROR('2. Roles &amp; Pricing'!R173/40,"")</f>
        <v>1</v>
      </c>
      <c r="X19" s="708">
        <f>IFERROR('2. Roles &amp; Pricing'!S173/40,"")</f>
        <v>1</v>
      </c>
      <c r="Y19" s="708">
        <f>IFERROR('2. Roles &amp; Pricing'!T173/40,"")</f>
        <v>1</v>
      </c>
      <c r="Z19" s="708">
        <f>IFERROR('2. Roles &amp; Pricing'!U173/40,"")</f>
        <v>1</v>
      </c>
      <c r="AA19" s="708">
        <f>IFERROR('2. Roles &amp; Pricing'!Y173/40,"")</f>
        <v>1</v>
      </c>
      <c r="AB19" s="708">
        <f>IFERROR('2. Roles &amp; Pricing'!Z173/40,"")</f>
        <v>1</v>
      </c>
      <c r="AC19" s="708">
        <f>IFERROR('2. Roles &amp; Pricing'!AA173/40,"")</f>
        <v>1</v>
      </c>
      <c r="AD19" s="708">
        <f>IFERROR('2. Roles &amp; Pricing'!AB173/40,"")</f>
        <v>1</v>
      </c>
      <c r="AE19" s="708">
        <f>IFERROR('2. Roles &amp; Pricing'!AG173/40,"")</f>
        <v>1</v>
      </c>
      <c r="AF19" s="708">
        <f>IFERROR('2. Roles &amp; Pricing'!AH173/40,"")</f>
        <v>1</v>
      </c>
      <c r="AG19" s="708">
        <f>IFERROR('2. Roles &amp; Pricing'!AI173/40,"")</f>
        <v>1</v>
      </c>
      <c r="AH19" s="708">
        <f>IFERROR('2. Roles &amp; Pricing'!AJ173/40,"")</f>
        <v>1</v>
      </c>
      <c r="AI19" s="708">
        <f>IFERROR('2. Roles &amp; Pricing'!AK173/40,"")</f>
        <v>1</v>
      </c>
      <c r="AJ19" s="708">
        <f>IFERROR('2. Roles &amp; Pricing'!AL173/40,"")</f>
        <v>1</v>
      </c>
      <c r="AK19" s="708">
        <f>IFERROR('2. Roles &amp; Pricing'!AM173/40,"")</f>
        <v>1</v>
      </c>
      <c r="AL19" s="708">
        <f>IFERROR('2. Roles &amp; Pricing'!AN173/40,"")</f>
        <v>1</v>
      </c>
      <c r="AM19" s="708">
        <f>IFERROR('2. Roles &amp; Pricing'!AO173/40,"")</f>
        <v>1</v>
      </c>
      <c r="AN19" s="708">
        <f>IFERROR('2. Roles &amp; Pricing'!AP173/40,"")</f>
        <v>1</v>
      </c>
      <c r="AO19" s="708">
        <f>IFERROR('2. Roles &amp; Pricing'!AQ173/40,"")</f>
        <v>1</v>
      </c>
      <c r="AP19" s="708">
        <f>IFERROR('2. Roles &amp; Pricing'!AR173/40,"")</f>
        <v>1</v>
      </c>
      <c r="AQ19" s="708">
        <f>IFERROR('2. Roles &amp; Pricing'!AS173/40,"")</f>
        <v>1</v>
      </c>
      <c r="AR19" s="708" t="str">
        <f>IFERROR('2. Roles &amp; Pricing'!AT173/40,"")</f>
        <v/>
      </c>
      <c r="AS19" s="708" t="str">
        <f>IFERROR('2. Roles &amp; Pricing'!AU173/40,"")</f>
        <v/>
      </c>
      <c r="AT19" s="708" t="str">
        <f>IFERROR('2. Roles &amp; Pricing'!AV173/40,"")</f>
        <v/>
      </c>
      <c r="AU19" s="708" t="str">
        <f>IFERROR('2. Roles &amp; Pricing'!AW173/40,"")</f>
        <v/>
      </c>
      <c r="AV19" s="708" t="str">
        <f>IFERROR('2. Roles &amp; Pricing'!AX173/40,"")</f>
        <v/>
      </c>
      <c r="AW19" s="708" t="str">
        <f>IFERROR('2. Roles &amp; Pricing'!AY173/40,"")</f>
        <v/>
      </c>
      <c r="AX19" s="708" t="str">
        <f>IFERROR('2. Roles &amp; Pricing'!AZ173/40,"")</f>
        <v/>
      </c>
      <c r="AY19" s="708" t="str">
        <f>IFERROR('2. Roles &amp; Pricing'!BA173/40,"")</f>
        <v/>
      </c>
      <c r="AZ19" s="708" t="str">
        <f>IFERROR('2. Roles &amp; Pricing'!BB173/40,"")</f>
        <v/>
      </c>
      <c r="BA19" s="708" t="str">
        <f>IFERROR('2. Roles &amp; Pricing'!BC173/40,"")</f>
        <v/>
      </c>
      <c r="BB19" s="708" t="str">
        <f>IFERROR('2. Roles &amp; Pricing'!BD173/40,"")</f>
        <v/>
      </c>
      <c r="BC19" s="708" t="str">
        <f>IFERROR('2. Roles &amp; Pricing'!BE173/40,"")</f>
        <v/>
      </c>
      <c r="BD19" s="708" t="str">
        <f>IFERROR('2. Roles &amp; Pricing'!BF173/40,"")</f>
        <v/>
      </c>
      <c r="BE19" s="708" t="str">
        <f>IFERROR('2. Roles &amp; Pricing'!BG173/40,"")</f>
        <v/>
      </c>
      <c r="BF19" s="708" t="str">
        <f>IFERROR('2. Roles &amp; Pricing'!BH173/40,"")</f>
        <v/>
      </c>
      <c r="BG19" s="708" t="str">
        <f>IFERROR('2. Roles &amp; Pricing'!BI173/40,"")</f>
        <v/>
      </c>
      <c r="BH19" s="708" t="str">
        <f>IFERROR('2. Roles &amp; Pricing'!BJ173/40,"")</f>
        <v/>
      </c>
      <c r="BI19" s="708" t="str">
        <f>IFERROR('2. Roles &amp; Pricing'!BK173/40,"")</f>
        <v/>
      </c>
      <c r="BJ19" s="708" t="str">
        <f>IFERROR('2. Roles &amp; Pricing'!BL173/40,"")</f>
        <v/>
      </c>
      <c r="BK19" s="708" t="str">
        <f>IFERROR('2. Roles &amp; Pricing'!BM173/40,"")</f>
        <v/>
      </c>
      <c r="BL19" s="708" t="str">
        <f>IFERROR('2. Roles &amp; Pricing'!BN173/40,"")</f>
        <v/>
      </c>
      <c r="BM19" s="708" t="str">
        <f>IFERROR('2. Roles &amp; Pricing'!BO173/40,"")</f>
        <v/>
      </c>
      <c r="BN19" s="212">
        <f t="shared" si="49"/>
        <v>30</v>
      </c>
      <c r="BO19" s="213">
        <f t="shared" si="50"/>
        <v>150</v>
      </c>
      <c r="BP19" s="199">
        <f>'2. Roles &amp; Pricing'!D294</f>
        <v>204000</v>
      </c>
      <c r="BQ19" s="199">
        <f>'2. Roles &amp; Pricing'!F294</f>
        <v>170</v>
      </c>
      <c r="BR19" s="623">
        <f>'2. Roles &amp; Pricing'!F294</f>
        <v>170</v>
      </c>
      <c r="BS19" s="200">
        <f>'2. Roles &amp; Pricing'!I294</f>
        <v>170</v>
      </c>
      <c r="BT19" s="201">
        <f t="shared" si="51"/>
        <v>204000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str">
        <f t="shared" si="46"/>
        <v>Adobe__Experience Management</v>
      </c>
      <c r="D20" s="207" t="str">
        <f t="shared" si="47"/>
        <v>Adobe__Experience Management__Experience Management</v>
      </c>
      <c r="E20" s="207">
        <v>21</v>
      </c>
      <c r="F20" s="207">
        <v>8</v>
      </c>
      <c r="G20" s="208" t="str">
        <f>'2. Roles &amp; Pricing'!D52</f>
        <v>Adobe</v>
      </c>
      <c r="H20" s="194" t="str">
        <f>'2. Roles &amp; Pricing'!F52</f>
        <v>Experience Management</v>
      </c>
      <c r="I20" s="210" t="str">
        <f>'2. Roles &amp; Pricing'!F52</f>
        <v>Experience Management</v>
      </c>
      <c r="J20" s="210" t="str">
        <f>'2. Roles &amp; Pricing'!K52</f>
        <v>Sr. Developer</v>
      </c>
      <c r="K20" s="197" t="str">
        <f>'2. Roles &amp; Pricing'!W52</f>
        <v>Offshore</v>
      </c>
      <c r="L20" s="209"/>
      <c r="M20" s="210"/>
      <c r="N20" s="707">
        <f>IFERROR('2. Roles &amp; Pricing'!F174/40,"")</f>
        <v>1</v>
      </c>
      <c r="O20" s="707">
        <f>IFERROR('2. Roles &amp; Pricing'!I174/40,"")</f>
        <v>1</v>
      </c>
      <c r="P20" s="707">
        <f>IFERROR('2. Roles &amp; Pricing'!K174/40,"")</f>
        <v>1</v>
      </c>
      <c r="Q20" s="707">
        <f>IFERROR('2. Roles &amp; Pricing'!L174/40,"")</f>
        <v>1</v>
      </c>
      <c r="R20" s="707">
        <f>IFERROR('2. Roles &amp; Pricing'!M174/40,"")</f>
        <v>1</v>
      </c>
      <c r="S20" s="707">
        <f>IFERROR('2. Roles &amp; Pricing'!N174/40,"")</f>
        <v>1</v>
      </c>
      <c r="T20" s="707">
        <f>IFERROR('2. Roles &amp; Pricing'!O174/40,"")</f>
        <v>1</v>
      </c>
      <c r="U20" s="709">
        <f>IFERROR('2. Roles &amp; Pricing'!P174/40,"")</f>
        <v>1</v>
      </c>
      <c r="V20" s="709">
        <f>IFERROR('2. Roles &amp; Pricing'!Q174/40,"")</f>
        <v>1</v>
      </c>
      <c r="W20" s="709">
        <f>IFERROR('2. Roles &amp; Pricing'!R174/40,"")</f>
        <v>1</v>
      </c>
      <c r="X20" s="708">
        <f>IFERROR('2. Roles &amp; Pricing'!S174/40,"")</f>
        <v>1</v>
      </c>
      <c r="Y20" s="708">
        <f>IFERROR('2. Roles &amp; Pricing'!T174/40,"")</f>
        <v>1</v>
      </c>
      <c r="Z20" s="708">
        <f>IFERROR('2. Roles &amp; Pricing'!U174/40,"")</f>
        <v>1</v>
      </c>
      <c r="AA20" s="708">
        <f>IFERROR('2. Roles &amp; Pricing'!Y174/40,"")</f>
        <v>1</v>
      </c>
      <c r="AB20" s="708">
        <f>IFERROR('2. Roles &amp; Pricing'!Z174/40,"")</f>
        <v>1</v>
      </c>
      <c r="AC20" s="708">
        <f>IFERROR('2. Roles &amp; Pricing'!AA174/40,"")</f>
        <v>1</v>
      </c>
      <c r="AD20" s="708">
        <f>IFERROR('2. Roles &amp; Pricing'!AB174/40,"")</f>
        <v>1</v>
      </c>
      <c r="AE20" s="708">
        <f>IFERROR('2. Roles &amp; Pricing'!AG174/40,"")</f>
        <v>1</v>
      </c>
      <c r="AF20" s="708">
        <f>IFERROR('2. Roles &amp; Pricing'!AH174/40,"")</f>
        <v>1</v>
      </c>
      <c r="AG20" s="708">
        <f>IFERROR('2. Roles &amp; Pricing'!AI174/40,"")</f>
        <v>1</v>
      </c>
      <c r="AH20" s="708">
        <f>IFERROR('2. Roles &amp; Pricing'!AJ174/40,"")</f>
        <v>1</v>
      </c>
      <c r="AI20" s="708">
        <f>IFERROR('2. Roles &amp; Pricing'!AK174/40,"")</f>
        <v>1</v>
      </c>
      <c r="AJ20" s="708">
        <f>IFERROR('2. Roles &amp; Pricing'!AL174/40,"")</f>
        <v>1</v>
      </c>
      <c r="AK20" s="708">
        <f>IFERROR('2. Roles &amp; Pricing'!AM174/40,"")</f>
        <v>1</v>
      </c>
      <c r="AL20" s="708">
        <f>IFERROR('2. Roles &amp; Pricing'!AN174/40,"")</f>
        <v>1</v>
      </c>
      <c r="AM20" s="708">
        <f>IFERROR('2. Roles &amp; Pricing'!AO174/40,"")</f>
        <v>1</v>
      </c>
      <c r="AN20" s="708">
        <f>IFERROR('2. Roles &amp; Pricing'!AP174/40,"")</f>
        <v>1</v>
      </c>
      <c r="AO20" s="708">
        <f>IFERROR('2. Roles &amp; Pricing'!AQ174/40,"")</f>
        <v>1</v>
      </c>
      <c r="AP20" s="708">
        <f>IFERROR('2. Roles &amp; Pricing'!AR174/40,"")</f>
        <v>1</v>
      </c>
      <c r="AQ20" s="708">
        <f>IFERROR('2. Roles &amp; Pricing'!AS174/40,"")</f>
        <v>1</v>
      </c>
      <c r="AR20" s="708" t="str">
        <f>IFERROR('2. Roles &amp; Pricing'!AT174/40,"")</f>
        <v/>
      </c>
      <c r="AS20" s="708" t="str">
        <f>IFERROR('2. Roles &amp; Pricing'!AU174/40,"")</f>
        <v/>
      </c>
      <c r="AT20" s="708" t="str">
        <f>IFERROR('2. Roles &amp; Pricing'!AV174/40,"")</f>
        <v/>
      </c>
      <c r="AU20" s="708" t="str">
        <f>IFERROR('2. Roles &amp; Pricing'!AW174/40,"")</f>
        <v/>
      </c>
      <c r="AV20" s="708" t="str">
        <f>IFERROR('2. Roles &amp; Pricing'!AX174/40,"")</f>
        <v/>
      </c>
      <c r="AW20" s="708" t="str">
        <f>IFERROR('2. Roles &amp; Pricing'!AY174/40,"")</f>
        <v/>
      </c>
      <c r="AX20" s="708" t="str">
        <f>IFERROR('2. Roles &amp; Pricing'!AZ174/40,"")</f>
        <v/>
      </c>
      <c r="AY20" s="708" t="str">
        <f>IFERROR('2. Roles &amp; Pricing'!BA174/40,"")</f>
        <v/>
      </c>
      <c r="AZ20" s="708" t="str">
        <f>IFERROR('2. Roles &amp; Pricing'!BB174/40,"")</f>
        <v/>
      </c>
      <c r="BA20" s="708" t="str">
        <f>IFERROR('2. Roles &amp; Pricing'!BC174/40,"")</f>
        <v/>
      </c>
      <c r="BB20" s="708" t="str">
        <f>IFERROR('2. Roles &amp; Pricing'!BD174/40,"")</f>
        <v/>
      </c>
      <c r="BC20" s="708" t="str">
        <f>IFERROR('2. Roles &amp; Pricing'!BE174/40,"")</f>
        <v/>
      </c>
      <c r="BD20" s="708" t="str">
        <f>IFERROR('2. Roles &amp; Pricing'!BF174/40,"")</f>
        <v/>
      </c>
      <c r="BE20" s="708" t="str">
        <f>IFERROR('2. Roles &amp; Pricing'!BG174/40,"")</f>
        <v/>
      </c>
      <c r="BF20" s="708" t="str">
        <f>IFERROR('2. Roles &amp; Pricing'!BH174/40,"")</f>
        <v/>
      </c>
      <c r="BG20" s="708" t="str">
        <f>IFERROR('2. Roles &amp; Pricing'!BI174/40,"")</f>
        <v/>
      </c>
      <c r="BH20" s="708" t="str">
        <f>IFERROR('2. Roles &amp; Pricing'!BJ174/40,"")</f>
        <v/>
      </c>
      <c r="BI20" s="708" t="str">
        <f>IFERROR('2. Roles &amp; Pricing'!BK174/40,"")</f>
        <v/>
      </c>
      <c r="BJ20" s="708" t="str">
        <f>IFERROR('2. Roles &amp; Pricing'!BL174/40,"")</f>
        <v/>
      </c>
      <c r="BK20" s="708" t="str">
        <f>IFERROR('2. Roles &amp; Pricing'!BM174/40,"")</f>
        <v/>
      </c>
      <c r="BL20" s="708" t="str">
        <f>IFERROR('2. Roles &amp; Pricing'!BN174/40,"")</f>
        <v/>
      </c>
      <c r="BM20" s="708" t="str">
        <f>IFERROR('2. Roles &amp; Pricing'!BO174/40,"")</f>
        <v/>
      </c>
      <c r="BN20" s="212">
        <f t="shared" si="49"/>
        <v>30</v>
      </c>
      <c r="BO20" s="213">
        <f t="shared" si="50"/>
        <v>150</v>
      </c>
      <c r="BP20" s="199">
        <f>'2. Roles &amp; Pricing'!D295</f>
        <v>78000</v>
      </c>
      <c r="BQ20" s="199">
        <f>'2. Roles &amp; Pricing'!F295</f>
        <v>65</v>
      </c>
      <c r="BR20" s="623">
        <f>'2. Roles &amp; Pricing'!F295</f>
        <v>65</v>
      </c>
      <c r="BS20" s="200">
        <f>'2. Roles &amp; Pricing'!I295</f>
        <v>65</v>
      </c>
      <c r="BT20" s="201">
        <f t="shared" si="51"/>
        <v>78000</v>
      </c>
      <c r="BU20" s="214">
        <f t="shared" si="48"/>
        <v>1200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str">
        <f t="shared" si="46"/>
        <v>.NET__.NET QA</v>
      </c>
      <c r="D21" s="207" t="str">
        <f t="shared" si="47"/>
        <v>.NET__.NET QA__.NET QA</v>
      </c>
      <c r="E21" s="207">
        <v>21</v>
      </c>
      <c r="F21" s="207">
        <v>8</v>
      </c>
      <c r="G21" s="208" t="str">
        <f>'2. Roles &amp; Pricing'!D53</f>
        <v>.NET</v>
      </c>
      <c r="H21" s="194" t="str">
        <f>'2. Roles &amp; Pricing'!F53</f>
        <v>.NET QA</v>
      </c>
      <c r="I21" s="210" t="str">
        <f>'2. Roles &amp; Pricing'!F53</f>
        <v>.NET QA</v>
      </c>
      <c r="J21" s="210" t="str">
        <f>'2. Roles &amp; Pricing'!K53</f>
        <v>QA Engineer</v>
      </c>
      <c r="K21" s="197" t="str">
        <f>'2. Roles &amp; Pricing'!W53</f>
        <v>Offshore</v>
      </c>
      <c r="L21" s="209"/>
      <c r="M21" s="210"/>
      <c r="N21" s="707">
        <f>IFERROR('2. Roles &amp; Pricing'!F175/40,"")</f>
        <v>0.8</v>
      </c>
      <c r="O21" s="707">
        <f>IFERROR('2. Roles &amp; Pricing'!I175/40,"")</f>
        <v>0.8</v>
      </c>
      <c r="P21" s="707">
        <f>IFERROR('2. Roles &amp; Pricing'!K175/40,"")</f>
        <v>0.8</v>
      </c>
      <c r="Q21" s="707">
        <f>IFERROR('2. Roles &amp; Pricing'!L175/40,"")</f>
        <v>0.8</v>
      </c>
      <c r="R21" s="707">
        <f>IFERROR('2. Roles &amp; Pricing'!M175/40,"")</f>
        <v>0.8</v>
      </c>
      <c r="S21" s="707">
        <f>IFERROR('2. Roles &amp; Pricing'!N175/40,"")</f>
        <v>0.8</v>
      </c>
      <c r="T21" s="707">
        <f>IFERROR('2. Roles &amp; Pricing'!O175/40,"")</f>
        <v>0.8</v>
      </c>
      <c r="U21" s="709">
        <f>IFERROR('2. Roles &amp; Pricing'!P175/40,"")</f>
        <v>0.8</v>
      </c>
      <c r="V21" s="709">
        <f>IFERROR('2. Roles &amp; Pricing'!Q175/40,"")</f>
        <v>0.8</v>
      </c>
      <c r="W21" s="709">
        <f>IFERROR('2. Roles &amp; Pricing'!R175/40,"")</f>
        <v>0.8</v>
      </c>
      <c r="X21" s="708">
        <f>IFERROR('2. Roles &amp; Pricing'!S175/40,"")</f>
        <v>0.8</v>
      </c>
      <c r="Y21" s="708">
        <f>IFERROR('2. Roles &amp; Pricing'!T175/40,"")</f>
        <v>0.8</v>
      </c>
      <c r="Z21" s="708">
        <f>IFERROR('2. Roles &amp; Pricing'!U175/40,"")</f>
        <v>0.8</v>
      </c>
      <c r="AA21" s="708">
        <f>IFERROR('2. Roles &amp; Pricing'!Y175/40,"")</f>
        <v>0.8</v>
      </c>
      <c r="AB21" s="708">
        <f>IFERROR('2. Roles &amp; Pricing'!Z175/40,"")</f>
        <v>0.8</v>
      </c>
      <c r="AC21" s="708">
        <f>IFERROR('2. Roles &amp; Pricing'!AA175/40,"")</f>
        <v>0.8</v>
      </c>
      <c r="AD21" s="708">
        <f>IFERROR('2. Roles &amp; Pricing'!AB175/40,"")</f>
        <v>0.8</v>
      </c>
      <c r="AE21" s="708">
        <f>IFERROR('2. Roles &amp; Pricing'!AG175/40,"")</f>
        <v>0.8</v>
      </c>
      <c r="AF21" s="708">
        <f>IFERROR('2. Roles &amp; Pricing'!AH175/40,"")</f>
        <v>0.8</v>
      </c>
      <c r="AG21" s="708">
        <f>IFERROR('2. Roles &amp; Pricing'!AI175/40,"")</f>
        <v>0.8</v>
      </c>
      <c r="AH21" s="708">
        <f>IFERROR('2. Roles &amp; Pricing'!AJ175/40,"")</f>
        <v>0.8</v>
      </c>
      <c r="AI21" s="708">
        <f>IFERROR('2. Roles &amp; Pricing'!AK175/40,"")</f>
        <v>0.8</v>
      </c>
      <c r="AJ21" s="708">
        <f>IFERROR('2. Roles &amp; Pricing'!AL175/40,"")</f>
        <v>0.8</v>
      </c>
      <c r="AK21" s="708">
        <f>IFERROR('2. Roles &amp; Pricing'!AM175/40,"")</f>
        <v>0.8</v>
      </c>
      <c r="AL21" s="708">
        <f>IFERROR('2. Roles &amp; Pricing'!AN175/40,"")</f>
        <v>0.8</v>
      </c>
      <c r="AM21" s="708">
        <f>IFERROR('2. Roles &amp; Pricing'!AO175/40,"")</f>
        <v>0.8</v>
      </c>
      <c r="AN21" s="708">
        <f>IFERROR('2. Roles &amp; Pricing'!AP175/40,"")</f>
        <v>0.8</v>
      </c>
      <c r="AO21" s="708">
        <f>IFERROR('2. Roles &amp; Pricing'!AQ175/40,"")</f>
        <v>0.8</v>
      </c>
      <c r="AP21" s="708">
        <f>IFERROR('2. Roles &amp; Pricing'!AR175/40,"")</f>
        <v>0.8</v>
      </c>
      <c r="AQ21" s="708">
        <f>IFERROR('2. Roles &amp; Pricing'!AS175/40,"")</f>
        <v>0.8</v>
      </c>
      <c r="AR21" s="708" t="str">
        <f>IFERROR('2. Roles &amp; Pricing'!AT175/40,"")</f>
        <v/>
      </c>
      <c r="AS21" s="708" t="str">
        <f>IFERROR('2. Roles &amp; Pricing'!AU175/40,"")</f>
        <v/>
      </c>
      <c r="AT21" s="708" t="str">
        <f>IFERROR('2. Roles &amp; Pricing'!AV175/40,"")</f>
        <v/>
      </c>
      <c r="AU21" s="708" t="str">
        <f>IFERROR('2. Roles &amp; Pricing'!AW175/40,"")</f>
        <v/>
      </c>
      <c r="AV21" s="708" t="str">
        <f>IFERROR('2. Roles &amp; Pricing'!AX175/40,"")</f>
        <v/>
      </c>
      <c r="AW21" s="708" t="str">
        <f>IFERROR('2. Roles &amp; Pricing'!AY175/40,"")</f>
        <v/>
      </c>
      <c r="AX21" s="708" t="str">
        <f>IFERROR('2. Roles &amp; Pricing'!AZ175/40,"")</f>
        <v/>
      </c>
      <c r="AY21" s="708" t="str">
        <f>IFERROR('2. Roles &amp; Pricing'!BA175/40,"")</f>
        <v/>
      </c>
      <c r="AZ21" s="708" t="str">
        <f>IFERROR('2. Roles &amp; Pricing'!BB175/40,"")</f>
        <v/>
      </c>
      <c r="BA21" s="708" t="str">
        <f>IFERROR('2. Roles &amp; Pricing'!BC175/40,"")</f>
        <v/>
      </c>
      <c r="BB21" s="708" t="str">
        <f>IFERROR('2. Roles &amp; Pricing'!BD175/40,"")</f>
        <v/>
      </c>
      <c r="BC21" s="708" t="str">
        <f>IFERROR('2. Roles &amp; Pricing'!BE175/40,"")</f>
        <v/>
      </c>
      <c r="BD21" s="708" t="str">
        <f>IFERROR('2. Roles &amp; Pricing'!BF175/40,"")</f>
        <v/>
      </c>
      <c r="BE21" s="708" t="str">
        <f>IFERROR('2. Roles &amp; Pricing'!BG175/40,"")</f>
        <v/>
      </c>
      <c r="BF21" s="708" t="str">
        <f>IFERROR('2. Roles &amp; Pricing'!BH175/40,"")</f>
        <v/>
      </c>
      <c r="BG21" s="708" t="str">
        <f>IFERROR('2. Roles &amp; Pricing'!BI175/40,"")</f>
        <v/>
      </c>
      <c r="BH21" s="708" t="str">
        <f>IFERROR('2. Roles &amp; Pricing'!BJ175/40,"")</f>
        <v/>
      </c>
      <c r="BI21" s="708" t="str">
        <f>IFERROR('2. Roles &amp; Pricing'!BK175/40,"")</f>
        <v/>
      </c>
      <c r="BJ21" s="708" t="str">
        <f>IFERROR('2. Roles &amp; Pricing'!BL175/40,"")</f>
        <v/>
      </c>
      <c r="BK21" s="708" t="str">
        <f>IFERROR('2. Roles &amp; Pricing'!BM175/40,"")</f>
        <v/>
      </c>
      <c r="BL21" s="708" t="str">
        <f>IFERROR('2. Roles &amp; Pricing'!BN175/40,"")</f>
        <v/>
      </c>
      <c r="BM21" s="708" t="str">
        <f>IFERROR('2. Roles &amp; Pricing'!BO175/40,"")</f>
        <v/>
      </c>
      <c r="BN21" s="212">
        <f t="shared" si="49"/>
        <v>24.000000000000011</v>
      </c>
      <c r="BO21" s="213">
        <f t="shared" si="50"/>
        <v>120.00000000000006</v>
      </c>
      <c r="BP21" s="199">
        <f>'2. Roles &amp; Pricing'!D296</f>
        <v>38400</v>
      </c>
      <c r="BQ21" s="199">
        <f>'2. Roles &amp; Pricing'!F296</f>
        <v>40</v>
      </c>
      <c r="BR21" s="623">
        <f>'2. Roles &amp; Pricing'!F296</f>
        <v>40</v>
      </c>
      <c r="BS21" s="200">
        <f>'2. Roles &amp; Pricing'!I296</f>
        <v>40</v>
      </c>
      <c r="BT21" s="201">
        <f t="shared" si="51"/>
        <v>38400</v>
      </c>
      <c r="BU21" s="214">
        <f t="shared" si="48"/>
        <v>960.00000000000045</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str">
        <f t="shared" si="46"/>
        <v>.NET__.NET BA</v>
      </c>
      <c r="D22" s="207" t="str">
        <f t="shared" si="47"/>
        <v>.NET__.NET BA__.NET BA</v>
      </c>
      <c r="E22" s="207">
        <v>21</v>
      </c>
      <c r="F22" s="207">
        <v>8</v>
      </c>
      <c r="G22" s="208" t="str">
        <f>'2. Roles &amp; Pricing'!D54</f>
        <v>.NET</v>
      </c>
      <c r="H22" s="194" t="str">
        <f>'2. Roles &amp; Pricing'!F54</f>
        <v>.NET BA</v>
      </c>
      <c r="I22" s="210" t="str">
        <f>'2. Roles &amp; Pricing'!F54</f>
        <v>.NET BA</v>
      </c>
      <c r="J22" s="210" t="str">
        <f>'2. Roles &amp; Pricing'!K54</f>
        <v>Sr. Business Analyst</v>
      </c>
      <c r="K22" s="197" t="str">
        <f>'2. Roles &amp; Pricing'!W54</f>
        <v>Offshore</v>
      </c>
      <c r="L22" s="209"/>
      <c r="M22" s="210"/>
      <c r="N22" s="707">
        <f>IFERROR('2. Roles &amp; Pricing'!F176/40,"")</f>
        <v>1</v>
      </c>
      <c r="O22" s="707">
        <f>IFERROR('2. Roles &amp; Pricing'!I176/40,"")</f>
        <v>1</v>
      </c>
      <c r="P22" s="707">
        <f>IFERROR('2. Roles &amp; Pricing'!K176/40,"")</f>
        <v>1</v>
      </c>
      <c r="Q22" s="707">
        <f>IFERROR('2. Roles &amp; Pricing'!L176/40,"")</f>
        <v>1</v>
      </c>
      <c r="R22" s="707">
        <f>IFERROR('2. Roles &amp; Pricing'!M176/40,"")</f>
        <v>1</v>
      </c>
      <c r="S22" s="707">
        <f>IFERROR('2. Roles &amp; Pricing'!N176/40,"")</f>
        <v>1</v>
      </c>
      <c r="T22" s="707">
        <f>IFERROR('2. Roles &amp; Pricing'!O176/40,"")</f>
        <v>1</v>
      </c>
      <c r="U22" s="709">
        <f>IFERROR('2. Roles &amp; Pricing'!P176/40,"")</f>
        <v>1</v>
      </c>
      <c r="V22" s="709">
        <f>IFERROR('2. Roles &amp; Pricing'!Q176/40,"")</f>
        <v>1</v>
      </c>
      <c r="W22" s="709">
        <f>IFERROR('2. Roles &amp; Pricing'!R176/40,"")</f>
        <v>1</v>
      </c>
      <c r="X22" s="708">
        <f>IFERROR('2. Roles &amp; Pricing'!S176/40,"")</f>
        <v>1</v>
      </c>
      <c r="Y22" s="708">
        <f>IFERROR('2. Roles &amp; Pricing'!T176/40,"")</f>
        <v>1</v>
      </c>
      <c r="Z22" s="708">
        <f>IFERROR('2. Roles &amp; Pricing'!U176/40,"")</f>
        <v>1</v>
      </c>
      <c r="AA22" s="708">
        <f>IFERROR('2. Roles &amp; Pricing'!Y176/40,"")</f>
        <v>1</v>
      </c>
      <c r="AB22" s="708">
        <f>IFERROR('2. Roles &amp; Pricing'!Z176/40,"")</f>
        <v>1</v>
      </c>
      <c r="AC22" s="708">
        <f>IFERROR('2. Roles &amp; Pricing'!AA176/40,"")</f>
        <v>1</v>
      </c>
      <c r="AD22" s="708">
        <f>IFERROR('2. Roles &amp; Pricing'!AB176/40,"")</f>
        <v>1</v>
      </c>
      <c r="AE22" s="708">
        <f>IFERROR('2. Roles &amp; Pricing'!AG176/40,"")</f>
        <v>1</v>
      </c>
      <c r="AF22" s="708">
        <f>IFERROR('2. Roles &amp; Pricing'!AH176/40,"")</f>
        <v>1</v>
      </c>
      <c r="AG22" s="708">
        <f>IFERROR('2. Roles &amp; Pricing'!AI176/40,"")</f>
        <v>1</v>
      </c>
      <c r="AH22" s="708">
        <f>IFERROR('2. Roles &amp; Pricing'!AJ176/40,"")</f>
        <v>1</v>
      </c>
      <c r="AI22" s="708">
        <f>IFERROR('2. Roles &amp; Pricing'!AK176/40,"")</f>
        <v>1</v>
      </c>
      <c r="AJ22" s="708">
        <f>IFERROR('2. Roles &amp; Pricing'!AL176/40,"")</f>
        <v>1</v>
      </c>
      <c r="AK22" s="708">
        <f>IFERROR('2. Roles &amp; Pricing'!AM176/40,"")</f>
        <v>1</v>
      </c>
      <c r="AL22" s="708">
        <f>IFERROR('2. Roles &amp; Pricing'!AN176/40,"")</f>
        <v>1</v>
      </c>
      <c r="AM22" s="708">
        <f>IFERROR('2. Roles &amp; Pricing'!AO176/40,"")</f>
        <v>1</v>
      </c>
      <c r="AN22" s="708">
        <f>IFERROR('2. Roles &amp; Pricing'!AP176/40,"")</f>
        <v>1</v>
      </c>
      <c r="AO22" s="708">
        <f>IFERROR('2. Roles &amp; Pricing'!AQ176/40,"")</f>
        <v>1</v>
      </c>
      <c r="AP22" s="708">
        <f>IFERROR('2. Roles &amp; Pricing'!AR176/40,"")</f>
        <v>1</v>
      </c>
      <c r="AQ22" s="708">
        <f>IFERROR('2. Roles &amp; Pricing'!AS176/40,"")</f>
        <v>1</v>
      </c>
      <c r="AR22" s="708" t="str">
        <f>IFERROR('2. Roles &amp; Pricing'!AT176/40,"")</f>
        <v/>
      </c>
      <c r="AS22" s="708" t="str">
        <f>IFERROR('2. Roles &amp; Pricing'!AU176/40,"")</f>
        <v/>
      </c>
      <c r="AT22" s="708" t="str">
        <f>IFERROR('2. Roles &amp; Pricing'!AV176/40,"")</f>
        <v/>
      </c>
      <c r="AU22" s="708" t="str">
        <f>IFERROR('2. Roles &amp; Pricing'!AW176/40,"")</f>
        <v/>
      </c>
      <c r="AV22" s="708" t="str">
        <f>IFERROR('2. Roles &amp; Pricing'!AX176/40,"")</f>
        <v/>
      </c>
      <c r="AW22" s="708" t="str">
        <f>IFERROR('2. Roles &amp; Pricing'!AY176/40,"")</f>
        <v/>
      </c>
      <c r="AX22" s="708" t="str">
        <f>IFERROR('2. Roles &amp; Pricing'!AZ176/40,"")</f>
        <v/>
      </c>
      <c r="AY22" s="708" t="str">
        <f>IFERROR('2. Roles &amp; Pricing'!BA176/40,"")</f>
        <v/>
      </c>
      <c r="AZ22" s="708" t="str">
        <f>IFERROR('2. Roles &amp; Pricing'!BB176/40,"")</f>
        <v/>
      </c>
      <c r="BA22" s="708" t="str">
        <f>IFERROR('2. Roles &amp; Pricing'!BC176/40,"")</f>
        <v/>
      </c>
      <c r="BB22" s="708" t="str">
        <f>IFERROR('2. Roles &amp; Pricing'!BD176/40,"")</f>
        <v/>
      </c>
      <c r="BC22" s="708" t="str">
        <f>IFERROR('2. Roles &amp; Pricing'!BE176/40,"")</f>
        <v/>
      </c>
      <c r="BD22" s="708" t="str">
        <f>IFERROR('2. Roles &amp; Pricing'!BF176/40,"")</f>
        <v/>
      </c>
      <c r="BE22" s="708" t="str">
        <f>IFERROR('2. Roles &amp; Pricing'!BG176/40,"")</f>
        <v/>
      </c>
      <c r="BF22" s="708" t="str">
        <f>IFERROR('2. Roles &amp; Pricing'!BH176/40,"")</f>
        <v/>
      </c>
      <c r="BG22" s="708" t="str">
        <f>IFERROR('2. Roles &amp; Pricing'!BI176/40,"")</f>
        <v/>
      </c>
      <c r="BH22" s="708" t="str">
        <f>IFERROR('2. Roles &amp; Pricing'!BJ176/40,"")</f>
        <v/>
      </c>
      <c r="BI22" s="708" t="str">
        <f>IFERROR('2. Roles &amp; Pricing'!BK176/40,"")</f>
        <v/>
      </c>
      <c r="BJ22" s="708" t="str">
        <f>IFERROR('2. Roles &amp; Pricing'!BL176/40,"")</f>
        <v/>
      </c>
      <c r="BK22" s="708" t="str">
        <f>IFERROR('2. Roles &amp; Pricing'!BM176/40,"")</f>
        <v/>
      </c>
      <c r="BL22" s="708" t="str">
        <f>IFERROR('2. Roles &amp; Pricing'!BN176/40,"")</f>
        <v/>
      </c>
      <c r="BM22" s="708" t="str">
        <f>IFERROR('2. Roles &amp; Pricing'!BO176/40,"")</f>
        <v/>
      </c>
      <c r="BN22" s="212">
        <f t="shared" si="49"/>
        <v>30</v>
      </c>
      <c r="BO22" s="213">
        <f t="shared" si="50"/>
        <v>150</v>
      </c>
      <c r="BP22" s="199">
        <f>'2. Roles &amp; Pricing'!D297</f>
        <v>78000</v>
      </c>
      <c r="BQ22" s="199">
        <f>'2. Roles &amp; Pricing'!F297</f>
        <v>65</v>
      </c>
      <c r="BR22" s="623">
        <f>'2. Roles &amp; Pricing'!F297</f>
        <v>65</v>
      </c>
      <c r="BS22" s="200">
        <f>'2. Roles &amp; Pricing'!I297</f>
        <v>65</v>
      </c>
      <c r="BT22" s="201">
        <f t="shared" si="51"/>
        <v>78000</v>
      </c>
      <c r="BU22" s="214">
        <f t="shared" si="48"/>
        <v>1200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str">
        <f t="shared" si="46"/>
        <v>Delivery__Delivery</v>
      </c>
      <c r="D23" s="207" t="str">
        <f t="shared" si="47"/>
        <v>Delivery__Delivery__Delivery</v>
      </c>
      <c r="E23" s="207">
        <v>20</v>
      </c>
      <c r="F23" s="207">
        <v>10</v>
      </c>
      <c r="G23" s="208" t="str">
        <f>'2. Roles &amp; Pricing'!D55</f>
        <v>Delivery</v>
      </c>
      <c r="H23" s="194" t="str">
        <f>'2. Roles &amp; Pricing'!F55</f>
        <v>Delivery</v>
      </c>
      <c r="I23" s="210" t="str">
        <f>'2. Roles &amp; Pricing'!F55</f>
        <v>Delivery</v>
      </c>
      <c r="J23" s="210" t="str">
        <f>'2. Roles &amp; Pricing'!K55</f>
        <v>Delivery Manager</v>
      </c>
      <c r="K23" s="197" t="str">
        <f>'2. Roles &amp; Pricing'!W55</f>
        <v>Offshore</v>
      </c>
      <c r="L23" s="209"/>
      <c r="M23" s="210"/>
      <c r="N23" s="707">
        <f>IFERROR('2. Roles &amp; Pricing'!F177/40,"")</f>
        <v>0.5</v>
      </c>
      <c r="O23" s="707">
        <f>IFERROR('2. Roles &amp; Pricing'!I177/40,"")</f>
        <v>0.5</v>
      </c>
      <c r="P23" s="707">
        <f>IFERROR('2. Roles &amp; Pricing'!K177/40,"")</f>
        <v>0.5</v>
      </c>
      <c r="Q23" s="707">
        <f>IFERROR('2. Roles &amp; Pricing'!L177/40,"")</f>
        <v>0.5</v>
      </c>
      <c r="R23" s="707">
        <f>IFERROR('2. Roles &amp; Pricing'!M177/40,"")</f>
        <v>0.5</v>
      </c>
      <c r="S23" s="707">
        <f>IFERROR('2. Roles &amp; Pricing'!N177/40,"")</f>
        <v>0.5</v>
      </c>
      <c r="T23" s="707">
        <f>IFERROR('2. Roles &amp; Pricing'!O177/40,"")</f>
        <v>0.5</v>
      </c>
      <c r="U23" s="709">
        <f>IFERROR('2. Roles &amp; Pricing'!P177/40,"")</f>
        <v>0.5</v>
      </c>
      <c r="V23" s="709">
        <f>IFERROR('2. Roles &amp; Pricing'!Q177/40,"")</f>
        <v>0.5</v>
      </c>
      <c r="W23" s="709">
        <f>IFERROR('2. Roles &amp; Pricing'!R177/40,"")</f>
        <v>0.5</v>
      </c>
      <c r="X23" s="708">
        <f>IFERROR('2. Roles &amp; Pricing'!S177/40,"")</f>
        <v>0.5</v>
      </c>
      <c r="Y23" s="708">
        <f>IFERROR('2. Roles &amp; Pricing'!T177/40,"")</f>
        <v>0.5</v>
      </c>
      <c r="Z23" s="708">
        <f>IFERROR('2. Roles &amp; Pricing'!U177/40,"")</f>
        <v>0.5</v>
      </c>
      <c r="AA23" s="708">
        <f>IFERROR('2. Roles &amp; Pricing'!Y177/40,"")</f>
        <v>0.5</v>
      </c>
      <c r="AB23" s="708">
        <f>IFERROR('2. Roles &amp; Pricing'!Z177/40,"")</f>
        <v>0.5</v>
      </c>
      <c r="AC23" s="708">
        <f>IFERROR('2. Roles &amp; Pricing'!AA177/40,"")</f>
        <v>0.5</v>
      </c>
      <c r="AD23" s="708">
        <f>IFERROR('2. Roles &amp; Pricing'!AB177/40,"")</f>
        <v>0.5</v>
      </c>
      <c r="AE23" s="708">
        <f>IFERROR('2. Roles &amp; Pricing'!AG177/40,"")</f>
        <v>0.5</v>
      </c>
      <c r="AF23" s="708">
        <f>IFERROR('2. Roles &amp; Pricing'!AH177/40,"")</f>
        <v>0.5</v>
      </c>
      <c r="AG23" s="708">
        <f>IFERROR('2. Roles &amp; Pricing'!AI177/40,"")</f>
        <v>0.5</v>
      </c>
      <c r="AH23" s="708">
        <f>IFERROR('2. Roles &amp; Pricing'!AJ177/40,"")</f>
        <v>0.5</v>
      </c>
      <c r="AI23" s="708">
        <f>IFERROR('2. Roles &amp; Pricing'!AK177/40,"")</f>
        <v>0.5</v>
      </c>
      <c r="AJ23" s="708">
        <f>IFERROR('2. Roles &amp; Pricing'!AL177/40,"")</f>
        <v>0.5</v>
      </c>
      <c r="AK23" s="708">
        <f>IFERROR('2. Roles &amp; Pricing'!AM177/40,"")</f>
        <v>0.5</v>
      </c>
      <c r="AL23" s="708">
        <f>IFERROR('2. Roles &amp; Pricing'!AN177/40,"")</f>
        <v>0.5</v>
      </c>
      <c r="AM23" s="708">
        <f>IFERROR('2. Roles &amp; Pricing'!AO177/40,"")</f>
        <v>0.5</v>
      </c>
      <c r="AN23" s="708">
        <f>IFERROR('2. Roles &amp; Pricing'!AP177/40,"")</f>
        <v>0.5</v>
      </c>
      <c r="AO23" s="708">
        <f>IFERROR('2. Roles &amp; Pricing'!AQ177/40,"")</f>
        <v>0.5</v>
      </c>
      <c r="AP23" s="708">
        <f>IFERROR('2. Roles &amp; Pricing'!AR177/40,"")</f>
        <v>0.5</v>
      </c>
      <c r="AQ23" s="708">
        <f>IFERROR('2. Roles &amp; Pricing'!AS177/40,"")</f>
        <v>0.5</v>
      </c>
      <c r="AR23" s="708" t="str">
        <f>IFERROR('2. Roles &amp; Pricing'!AT177/40,"")</f>
        <v/>
      </c>
      <c r="AS23" s="708" t="str">
        <f>IFERROR('2. Roles &amp; Pricing'!AU177/40,"")</f>
        <v/>
      </c>
      <c r="AT23" s="708" t="str">
        <f>IFERROR('2. Roles &amp; Pricing'!AV177/40,"")</f>
        <v/>
      </c>
      <c r="AU23" s="708" t="str">
        <f>IFERROR('2. Roles &amp; Pricing'!AW177/40,"")</f>
        <v/>
      </c>
      <c r="AV23" s="708" t="str">
        <f>IFERROR('2. Roles &amp; Pricing'!AX177/40,"")</f>
        <v/>
      </c>
      <c r="AW23" s="708" t="str">
        <f>IFERROR('2. Roles &amp; Pricing'!AY177/40,"")</f>
        <v/>
      </c>
      <c r="AX23" s="708" t="str">
        <f>IFERROR('2. Roles &amp; Pricing'!AZ177/40,"")</f>
        <v/>
      </c>
      <c r="AY23" s="708" t="str">
        <f>IFERROR('2. Roles &amp; Pricing'!BA177/40,"")</f>
        <v/>
      </c>
      <c r="AZ23" s="708" t="str">
        <f>IFERROR('2. Roles &amp; Pricing'!BB177/40,"")</f>
        <v/>
      </c>
      <c r="BA23" s="708" t="str">
        <f>IFERROR('2. Roles &amp; Pricing'!BC177/40,"")</f>
        <v/>
      </c>
      <c r="BB23" s="708" t="str">
        <f>IFERROR('2. Roles &amp; Pricing'!BD177/40,"")</f>
        <v/>
      </c>
      <c r="BC23" s="708" t="str">
        <f>IFERROR('2. Roles &amp; Pricing'!BE177/40,"")</f>
        <v/>
      </c>
      <c r="BD23" s="708" t="str">
        <f>IFERROR('2. Roles &amp; Pricing'!BF177/40,"")</f>
        <v/>
      </c>
      <c r="BE23" s="708" t="str">
        <f>IFERROR('2. Roles &amp; Pricing'!BG177/40,"")</f>
        <v/>
      </c>
      <c r="BF23" s="708" t="str">
        <f>IFERROR('2. Roles &amp; Pricing'!BH177/40,"")</f>
        <v/>
      </c>
      <c r="BG23" s="708" t="str">
        <f>IFERROR('2. Roles &amp; Pricing'!BI177/40,"")</f>
        <v/>
      </c>
      <c r="BH23" s="708" t="str">
        <f>IFERROR('2. Roles &amp; Pricing'!BJ177/40,"")</f>
        <v/>
      </c>
      <c r="BI23" s="708" t="str">
        <f>IFERROR('2. Roles &amp; Pricing'!BK177/40,"")</f>
        <v/>
      </c>
      <c r="BJ23" s="708" t="str">
        <f>IFERROR('2. Roles &amp; Pricing'!BL177/40,"")</f>
        <v/>
      </c>
      <c r="BK23" s="708" t="str">
        <f>IFERROR('2. Roles &amp; Pricing'!BM177/40,"")</f>
        <v/>
      </c>
      <c r="BL23" s="708" t="str">
        <f>IFERROR('2. Roles &amp; Pricing'!BN177/40,"")</f>
        <v/>
      </c>
      <c r="BM23" s="708" t="str">
        <f>IFERROR('2. Roles &amp; Pricing'!BO177/40,"")</f>
        <v/>
      </c>
      <c r="BN23" s="212">
        <f t="shared" si="49"/>
        <v>15</v>
      </c>
      <c r="BO23" s="213">
        <f t="shared" si="50"/>
        <v>75</v>
      </c>
      <c r="BP23" s="199">
        <f>'2. Roles &amp; Pricing'!D298</f>
        <v>54000</v>
      </c>
      <c r="BQ23" s="199">
        <f>'2. Roles &amp; Pricing'!F298</f>
        <v>90</v>
      </c>
      <c r="BR23" s="623">
        <f>'2. Roles &amp; Pricing'!F298</f>
        <v>90</v>
      </c>
      <c r="BS23" s="200">
        <f>'2. Roles &amp; Pricing'!I298</f>
        <v>90</v>
      </c>
      <c r="BT23" s="201">
        <f t="shared" si="51"/>
        <v>54000</v>
      </c>
      <c r="BU23" s="214">
        <f t="shared" si="48"/>
        <v>600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Pricing'!D56</f>
        <v>0</v>
      </c>
      <c r="H24" s="194">
        <f>'2. Roles &amp; Pricing'!F56</f>
        <v>0</v>
      </c>
      <c r="I24" s="210">
        <f>'2. Roles &amp; Pricing'!F56</f>
        <v>0</v>
      </c>
      <c r="J24" s="210">
        <f>'2. Roles &amp; Pricing'!K56</f>
        <v>0</v>
      </c>
      <c r="K24" s="197" t="str">
        <f>'2. Roles &amp; Pricing'!W56</f>
        <v xml:space="preserve"> </v>
      </c>
      <c r="L24" s="209"/>
      <c r="M24" s="210"/>
      <c r="N24" s="707" t="str">
        <f>IFERROR('2. Roles &amp; Pricing'!F178/40,"")</f>
        <v/>
      </c>
      <c r="O24" s="707" t="str">
        <f>IFERROR('2. Roles &amp; Pricing'!I178/40,"")</f>
        <v/>
      </c>
      <c r="P24" s="707" t="str">
        <f>IFERROR('2. Roles &amp; Pricing'!K178/40,"")</f>
        <v/>
      </c>
      <c r="Q24" s="707" t="str">
        <f>IFERROR('2. Roles &amp; Pricing'!L178/40,"")</f>
        <v/>
      </c>
      <c r="R24" s="707" t="str">
        <f>IFERROR('2. Roles &amp; Pricing'!M178/40,"")</f>
        <v/>
      </c>
      <c r="S24" s="707" t="str">
        <f>IFERROR('2. Roles &amp; Pricing'!N178/40,"")</f>
        <v/>
      </c>
      <c r="T24" s="707" t="str">
        <f>IFERROR('2. Roles &amp; Pricing'!O178/40,"")</f>
        <v/>
      </c>
      <c r="U24" s="709" t="str">
        <f>IFERROR('2. Roles &amp; Pricing'!P178/40,"")</f>
        <v/>
      </c>
      <c r="V24" s="709" t="str">
        <f>IFERROR('2. Roles &amp; Pricing'!Q178/40,"")</f>
        <v/>
      </c>
      <c r="W24" s="709" t="str">
        <f>IFERROR('2. Roles &amp; Pricing'!R178/40,"")</f>
        <v/>
      </c>
      <c r="X24" s="708" t="str">
        <f>IFERROR('2. Roles &amp; Pricing'!S178/40,"")</f>
        <v/>
      </c>
      <c r="Y24" s="708" t="str">
        <f>IFERROR('2. Roles &amp; Pricing'!T178/40,"")</f>
        <v/>
      </c>
      <c r="Z24" s="708" t="str">
        <f>IFERROR('2. Roles &amp; Pricing'!U178/40,"")</f>
        <v/>
      </c>
      <c r="AA24" s="708" t="str">
        <f>IFERROR('2. Roles &amp; Pricing'!Y178/40,"")</f>
        <v/>
      </c>
      <c r="AB24" s="708" t="str">
        <f>IFERROR('2. Roles &amp; Pricing'!Z178/40,"")</f>
        <v/>
      </c>
      <c r="AC24" s="708" t="str">
        <f>IFERROR('2. Roles &amp; Pricing'!AA178/40,"")</f>
        <v/>
      </c>
      <c r="AD24" s="708" t="str">
        <f>IFERROR('2. Roles &amp; Pricing'!AB178/40,"")</f>
        <v/>
      </c>
      <c r="AE24" s="708" t="str">
        <f>IFERROR('2. Roles &amp; Pricing'!AG178/40,"")</f>
        <v/>
      </c>
      <c r="AF24" s="708" t="str">
        <f>IFERROR('2. Roles &amp; Pricing'!AH178/40,"")</f>
        <v/>
      </c>
      <c r="AG24" s="708" t="str">
        <f>IFERROR('2. Roles &amp; Pricing'!AI178/40,"")</f>
        <v/>
      </c>
      <c r="AH24" s="708" t="str">
        <f>IFERROR('2. Roles &amp; Pricing'!AJ178/40,"")</f>
        <v/>
      </c>
      <c r="AI24" s="708" t="str">
        <f>IFERROR('2. Roles &amp; Pricing'!AK178/40,"")</f>
        <v/>
      </c>
      <c r="AJ24" s="708" t="str">
        <f>IFERROR('2. Roles &amp; Pricing'!AL178/40,"")</f>
        <v/>
      </c>
      <c r="AK24" s="708" t="str">
        <f>IFERROR('2. Roles &amp; Pricing'!AM178/40,"")</f>
        <v/>
      </c>
      <c r="AL24" s="708" t="str">
        <f>IFERROR('2. Roles &amp; Pricing'!AN178/40,"")</f>
        <v/>
      </c>
      <c r="AM24" s="708" t="str">
        <f>IFERROR('2. Roles &amp; Pricing'!AO178/40,"")</f>
        <v/>
      </c>
      <c r="AN24" s="708" t="str">
        <f>IFERROR('2. Roles &amp; Pricing'!AP178/40,"")</f>
        <v/>
      </c>
      <c r="AO24" s="708" t="str">
        <f>IFERROR('2. Roles &amp; Pricing'!AQ178/40,"")</f>
        <v/>
      </c>
      <c r="AP24" s="708" t="str">
        <f>IFERROR('2. Roles &amp; Pricing'!AR178/40,"")</f>
        <v/>
      </c>
      <c r="AQ24" s="708" t="str">
        <f>IFERROR('2. Roles &amp; Pricing'!AS178/40,"")</f>
        <v/>
      </c>
      <c r="AR24" s="708" t="str">
        <f>IFERROR('2. Roles &amp; Pricing'!AT178/40,"")</f>
        <v/>
      </c>
      <c r="AS24" s="708" t="str">
        <f>IFERROR('2. Roles &amp; Pricing'!AU178/40,"")</f>
        <v/>
      </c>
      <c r="AT24" s="708" t="str">
        <f>IFERROR('2. Roles &amp; Pricing'!AV178/40,"")</f>
        <v/>
      </c>
      <c r="AU24" s="708" t="str">
        <f>IFERROR('2. Roles &amp; Pricing'!AW178/40,"")</f>
        <v/>
      </c>
      <c r="AV24" s="708" t="str">
        <f>IFERROR('2. Roles &amp; Pricing'!AX178/40,"")</f>
        <v/>
      </c>
      <c r="AW24" s="708" t="str">
        <f>IFERROR('2. Roles &amp; Pricing'!AY178/40,"")</f>
        <v/>
      </c>
      <c r="AX24" s="708" t="str">
        <f>IFERROR('2. Roles &amp; Pricing'!AZ178/40,"")</f>
        <v/>
      </c>
      <c r="AY24" s="708" t="str">
        <f>IFERROR('2. Roles &amp; Pricing'!BA178/40,"")</f>
        <v/>
      </c>
      <c r="AZ24" s="708" t="str">
        <f>IFERROR('2. Roles &amp; Pricing'!BB178/40,"")</f>
        <v/>
      </c>
      <c r="BA24" s="708" t="str">
        <f>IFERROR('2. Roles &amp; Pricing'!BC178/40,"")</f>
        <v/>
      </c>
      <c r="BB24" s="708" t="str">
        <f>IFERROR('2. Roles &amp; Pricing'!BD178/40,"")</f>
        <v/>
      </c>
      <c r="BC24" s="708" t="str">
        <f>IFERROR('2. Roles &amp; Pricing'!BE178/40,"")</f>
        <v/>
      </c>
      <c r="BD24" s="708" t="str">
        <f>IFERROR('2. Roles &amp; Pricing'!BF178/40,"")</f>
        <v/>
      </c>
      <c r="BE24" s="708" t="str">
        <f>IFERROR('2. Roles &amp; Pricing'!BG178/40,"")</f>
        <v/>
      </c>
      <c r="BF24" s="708" t="str">
        <f>IFERROR('2. Roles &amp; Pricing'!BH178/40,"")</f>
        <v/>
      </c>
      <c r="BG24" s="708" t="str">
        <f>IFERROR('2. Roles &amp; Pricing'!BI178/40,"")</f>
        <v/>
      </c>
      <c r="BH24" s="708" t="str">
        <f>IFERROR('2. Roles &amp; Pricing'!BJ178/40,"")</f>
        <v/>
      </c>
      <c r="BI24" s="708" t="str">
        <f>IFERROR('2. Roles &amp; Pricing'!BK178/40,"")</f>
        <v/>
      </c>
      <c r="BJ24" s="708" t="str">
        <f>IFERROR('2. Roles &amp; Pricing'!BL178/40,"")</f>
        <v/>
      </c>
      <c r="BK24" s="708" t="str">
        <f>IFERROR('2. Roles &amp; Pricing'!BM178/40,"")</f>
        <v/>
      </c>
      <c r="BL24" s="708" t="str">
        <f>IFERROR('2. Roles &amp; Pricing'!BN178/40,"")</f>
        <v/>
      </c>
      <c r="BM24" s="708" t="str">
        <f>IFERROR('2. Roles &amp; Pricing'!BO178/40,"")</f>
        <v/>
      </c>
      <c r="BN24" s="212">
        <f t="shared" si="49"/>
        <v>0</v>
      </c>
      <c r="BO24" s="213">
        <f t="shared" si="50"/>
        <v>0</v>
      </c>
      <c r="BP24" s="199" t="str">
        <f>'2. Roles &amp; Pricing'!D299</f>
        <v/>
      </c>
      <c r="BQ24" s="199">
        <f>'2. Roles &amp; Pricing'!F299</f>
        <v>0</v>
      </c>
      <c r="BR24" s="623">
        <f>'2. Roles &amp; Pricing'!F299</f>
        <v>0</v>
      </c>
      <c r="BS24" s="200">
        <f>'2. Roles &amp; Pricing'!I299</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Pricing'!D57</f>
        <v>0</v>
      </c>
      <c r="H25" s="194">
        <f>'2. Roles &amp; Pricing'!F57</f>
        <v>0</v>
      </c>
      <c r="I25" s="210">
        <f>'2. Roles &amp; Pricing'!F57</f>
        <v>0</v>
      </c>
      <c r="J25" s="210">
        <f>'2. Roles &amp; Pricing'!K57</f>
        <v>0</v>
      </c>
      <c r="K25" s="197" t="str">
        <f>'2. Roles &amp; Pricing'!W57</f>
        <v xml:space="preserve"> </v>
      </c>
      <c r="L25" s="209"/>
      <c r="M25" s="210"/>
      <c r="N25" s="707" t="str">
        <f>IFERROR('2. Roles &amp; Pricing'!F179/40,"")</f>
        <v/>
      </c>
      <c r="O25" s="707" t="str">
        <f>IFERROR('2. Roles &amp; Pricing'!I179/40,"")</f>
        <v/>
      </c>
      <c r="P25" s="707" t="str">
        <f>IFERROR('2. Roles &amp; Pricing'!K179/40,"")</f>
        <v/>
      </c>
      <c r="Q25" s="707" t="str">
        <f>IFERROR('2. Roles &amp; Pricing'!L179/40,"")</f>
        <v/>
      </c>
      <c r="R25" s="707" t="str">
        <f>IFERROR('2. Roles &amp; Pricing'!M179/40,"")</f>
        <v/>
      </c>
      <c r="S25" s="707" t="str">
        <f>IFERROR('2. Roles &amp; Pricing'!N179/40,"")</f>
        <v/>
      </c>
      <c r="T25" s="707" t="str">
        <f>IFERROR('2. Roles &amp; Pricing'!O179/40,"")</f>
        <v/>
      </c>
      <c r="U25" s="709" t="str">
        <f>IFERROR('2. Roles &amp; Pricing'!P179/40,"")</f>
        <v/>
      </c>
      <c r="V25" s="709" t="str">
        <f>IFERROR('2. Roles &amp; Pricing'!Q179/40,"")</f>
        <v/>
      </c>
      <c r="W25" s="709" t="str">
        <f>IFERROR('2. Roles &amp; Pricing'!R179/40,"")</f>
        <v/>
      </c>
      <c r="X25" s="708" t="str">
        <f>IFERROR('2. Roles &amp; Pricing'!S179/40,"")</f>
        <v/>
      </c>
      <c r="Y25" s="708" t="str">
        <f>IFERROR('2. Roles &amp; Pricing'!T179/40,"")</f>
        <v/>
      </c>
      <c r="Z25" s="708" t="str">
        <f>IFERROR('2. Roles &amp; Pricing'!U179/40,"")</f>
        <v/>
      </c>
      <c r="AA25" s="708" t="str">
        <f>IFERROR('2. Roles &amp; Pricing'!Y179/40,"")</f>
        <v/>
      </c>
      <c r="AB25" s="708" t="str">
        <f>IFERROR('2. Roles &amp; Pricing'!Z179/40,"")</f>
        <v/>
      </c>
      <c r="AC25" s="708" t="str">
        <f>IFERROR('2. Roles &amp; Pricing'!AA179/40,"")</f>
        <v/>
      </c>
      <c r="AD25" s="708" t="str">
        <f>IFERROR('2. Roles &amp; Pricing'!AB179/40,"")</f>
        <v/>
      </c>
      <c r="AE25" s="708" t="str">
        <f>IFERROR('2. Roles &amp; Pricing'!AG179/40,"")</f>
        <v/>
      </c>
      <c r="AF25" s="708" t="str">
        <f>IFERROR('2. Roles &amp; Pricing'!AH179/40,"")</f>
        <v/>
      </c>
      <c r="AG25" s="708" t="str">
        <f>IFERROR('2. Roles &amp; Pricing'!AI179/40,"")</f>
        <v/>
      </c>
      <c r="AH25" s="708" t="str">
        <f>IFERROR('2. Roles &amp; Pricing'!AJ179/40,"")</f>
        <v/>
      </c>
      <c r="AI25" s="708" t="str">
        <f>IFERROR('2. Roles &amp; Pricing'!AK179/40,"")</f>
        <v/>
      </c>
      <c r="AJ25" s="708" t="str">
        <f>IFERROR('2. Roles &amp; Pricing'!AL179/40,"")</f>
        <v/>
      </c>
      <c r="AK25" s="708" t="str">
        <f>IFERROR('2. Roles &amp; Pricing'!AM179/40,"")</f>
        <v/>
      </c>
      <c r="AL25" s="708" t="str">
        <f>IFERROR('2. Roles &amp; Pricing'!AN179/40,"")</f>
        <v/>
      </c>
      <c r="AM25" s="708" t="str">
        <f>IFERROR('2. Roles &amp; Pricing'!AO179/40,"")</f>
        <v/>
      </c>
      <c r="AN25" s="708" t="str">
        <f>IFERROR('2. Roles &amp; Pricing'!AP179/40,"")</f>
        <v/>
      </c>
      <c r="AO25" s="708" t="str">
        <f>IFERROR('2. Roles &amp; Pricing'!AQ179/40,"")</f>
        <v/>
      </c>
      <c r="AP25" s="708" t="str">
        <f>IFERROR('2. Roles &amp; Pricing'!AR179/40,"")</f>
        <v/>
      </c>
      <c r="AQ25" s="708" t="str">
        <f>IFERROR('2. Roles &amp; Pricing'!AS179/40,"")</f>
        <v/>
      </c>
      <c r="AR25" s="708" t="str">
        <f>IFERROR('2. Roles &amp; Pricing'!AT179/40,"")</f>
        <v/>
      </c>
      <c r="AS25" s="708" t="str">
        <f>IFERROR('2. Roles &amp; Pricing'!AU179/40,"")</f>
        <v/>
      </c>
      <c r="AT25" s="708" t="str">
        <f>IFERROR('2. Roles &amp; Pricing'!AV179/40,"")</f>
        <v/>
      </c>
      <c r="AU25" s="708" t="str">
        <f>IFERROR('2. Roles &amp; Pricing'!AW179/40,"")</f>
        <v/>
      </c>
      <c r="AV25" s="708" t="str">
        <f>IFERROR('2. Roles &amp; Pricing'!AX179/40,"")</f>
        <v/>
      </c>
      <c r="AW25" s="708" t="str">
        <f>IFERROR('2. Roles &amp; Pricing'!AY179/40,"")</f>
        <v/>
      </c>
      <c r="AX25" s="708" t="str">
        <f>IFERROR('2. Roles &amp; Pricing'!AZ179/40,"")</f>
        <v/>
      </c>
      <c r="AY25" s="708" t="str">
        <f>IFERROR('2. Roles &amp; Pricing'!BA179/40,"")</f>
        <v/>
      </c>
      <c r="AZ25" s="708" t="str">
        <f>IFERROR('2. Roles &amp; Pricing'!BB179/40,"")</f>
        <v/>
      </c>
      <c r="BA25" s="708" t="str">
        <f>IFERROR('2. Roles &amp; Pricing'!BC179/40,"")</f>
        <v/>
      </c>
      <c r="BB25" s="708" t="str">
        <f>IFERROR('2. Roles &amp; Pricing'!BD179/40,"")</f>
        <v/>
      </c>
      <c r="BC25" s="708" t="str">
        <f>IFERROR('2. Roles &amp; Pricing'!BE179/40,"")</f>
        <v/>
      </c>
      <c r="BD25" s="708" t="str">
        <f>IFERROR('2. Roles &amp; Pricing'!BF179/40,"")</f>
        <v/>
      </c>
      <c r="BE25" s="708" t="str">
        <f>IFERROR('2. Roles &amp; Pricing'!BG179/40,"")</f>
        <v/>
      </c>
      <c r="BF25" s="708" t="str">
        <f>IFERROR('2. Roles &amp; Pricing'!BH179/40,"")</f>
        <v/>
      </c>
      <c r="BG25" s="708" t="str">
        <f>IFERROR('2. Roles &amp; Pricing'!BI179/40,"")</f>
        <v/>
      </c>
      <c r="BH25" s="708" t="str">
        <f>IFERROR('2. Roles &amp; Pricing'!BJ179/40,"")</f>
        <v/>
      </c>
      <c r="BI25" s="708" t="str">
        <f>IFERROR('2. Roles &amp; Pricing'!BK179/40,"")</f>
        <v/>
      </c>
      <c r="BJ25" s="708" t="str">
        <f>IFERROR('2. Roles &amp; Pricing'!BL179/40,"")</f>
        <v/>
      </c>
      <c r="BK25" s="708" t="str">
        <f>IFERROR('2. Roles &amp; Pricing'!BM179/40,"")</f>
        <v/>
      </c>
      <c r="BL25" s="708" t="str">
        <f>IFERROR('2. Roles &amp; Pricing'!BN179/40,"")</f>
        <v/>
      </c>
      <c r="BM25" s="708" t="str">
        <f>IFERROR('2. Roles &amp; Pricing'!BO179/40,"")</f>
        <v/>
      </c>
      <c r="BN25" s="212">
        <f t="shared" si="49"/>
        <v>0</v>
      </c>
      <c r="BO25" s="213">
        <f t="shared" si="50"/>
        <v>0</v>
      </c>
      <c r="BP25" s="199" t="str">
        <f>'2. Roles &amp; Pricing'!D300</f>
        <v/>
      </c>
      <c r="BQ25" s="199">
        <f>'2. Roles &amp; Pricing'!F300</f>
        <v>0</v>
      </c>
      <c r="BR25" s="623">
        <f>'2. Roles &amp; Pricing'!F300</f>
        <v>0</v>
      </c>
      <c r="BS25" s="200">
        <f>'2. Roles &amp; Pricing'!I300</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Pricing'!D58</f>
        <v>0</v>
      </c>
      <c r="H26" s="194">
        <f>'2. Roles &amp; Pricing'!F58</f>
        <v>0</v>
      </c>
      <c r="I26" s="210">
        <f>'2. Roles &amp; Pricing'!F58</f>
        <v>0</v>
      </c>
      <c r="J26" s="210">
        <f>'2. Roles &amp; Pricing'!K58</f>
        <v>0</v>
      </c>
      <c r="K26" s="197" t="str">
        <f>'2. Roles &amp; Pricing'!W58</f>
        <v xml:space="preserve"> </v>
      </c>
      <c r="L26" s="209"/>
      <c r="M26" s="210"/>
      <c r="N26" s="707" t="str">
        <f>IFERROR('2. Roles &amp; Pricing'!F180/40,"")</f>
        <v/>
      </c>
      <c r="O26" s="707" t="str">
        <f>IFERROR('2. Roles &amp; Pricing'!I180/40,"")</f>
        <v/>
      </c>
      <c r="P26" s="707" t="str">
        <f>IFERROR('2. Roles &amp; Pricing'!K180/40,"")</f>
        <v/>
      </c>
      <c r="Q26" s="707" t="str">
        <f>IFERROR('2. Roles &amp; Pricing'!L180/40,"")</f>
        <v/>
      </c>
      <c r="R26" s="707" t="str">
        <f>IFERROR('2. Roles &amp; Pricing'!M180/40,"")</f>
        <v/>
      </c>
      <c r="S26" s="707" t="str">
        <f>IFERROR('2. Roles &amp; Pricing'!N180/40,"")</f>
        <v/>
      </c>
      <c r="T26" s="707" t="str">
        <f>IFERROR('2. Roles &amp; Pricing'!O180/40,"")</f>
        <v/>
      </c>
      <c r="U26" s="709" t="str">
        <f>IFERROR('2. Roles &amp; Pricing'!P180/40,"")</f>
        <v/>
      </c>
      <c r="V26" s="709" t="str">
        <f>IFERROR('2. Roles &amp; Pricing'!Q180/40,"")</f>
        <v/>
      </c>
      <c r="W26" s="709" t="str">
        <f>IFERROR('2. Roles &amp; Pricing'!R180/40,"")</f>
        <v/>
      </c>
      <c r="X26" s="708" t="str">
        <f>IFERROR('2. Roles &amp; Pricing'!S180/40,"")</f>
        <v/>
      </c>
      <c r="Y26" s="708" t="str">
        <f>IFERROR('2. Roles &amp; Pricing'!T180/40,"")</f>
        <v/>
      </c>
      <c r="Z26" s="708" t="str">
        <f>IFERROR('2. Roles &amp; Pricing'!U180/40,"")</f>
        <v/>
      </c>
      <c r="AA26" s="708" t="str">
        <f>IFERROR('2. Roles &amp; Pricing'!Y180/40,"")</f>
        <v/>
      </c>
      <c r="AB26" s="708" t="str">
        <f>IFERROR('2. Roles &amp; Pricing'!Z180/40,"")</f>
        <v/>
      </c>
      <c r="AC26" s="708" t="str">
        <f>IFERROR('2. Roles &amp; Pricing'!AA180/40,"")</f>
        <v/>
      </c>
      <c r="AD26" s="708" t="str">
        <f>IFERROR('2. Roles &amp; Pricing'!AB180/40,"")</f>
        <v/>
      </c>
      <c r="AE26" s="708" t="str">
        <f>IFERROR('2. Roles &amp; Pricing'!AG180/40,"")</f>
        <v/>
      </c>
      <c r="AF26" s="708" t="str">
        <f>IFERROR('2. Roles &amp; Pricing'!AH180/40,"")</f>
        <v/>
      </c>
      <c r="AG26" s="708" t="str">
        <f>IFERROR('2. Roles &amp; Pricing'!AI180/40,"")</f>
        <v/>
      </c>
      <c r="AH26" s="708" t="str">
        <f>IFERROR('2. Roles &amp; Pricing'!AJ180/40,"")</f>
        <v/>
      </c>
      <c r="AI26" s="708" t="str">
        <f>IFERROR('2. Roles &amp; Pricing'!AK180/40,"")</f>
        <v/>
      </c>
      <c r="AJ26" s="708" t="str">
        <f>IFERROR('2. Roles &amp; Pricing'!AL180/40,"")</f>
        <v/>
      </c>
      <c r="AK26" s="708" t="str">
        <f>IFERROR('2. Roles &amp; Pricing'!AM180/40,"")</f>
        <v/>
      </c>
      <c r="AL26" s="708" t="str">
        <f>IFERROR('2. Roles &amp; Pricing'!AN180/40,"")</f>
        <v/>
      </c>
      <c r="AM26" s="708" t="str">
        <f>IFERROR('2. Roles &amp; Pricing'!AO180/40,"")</f>
        <v/>
      </c>
      <c r="AN26" s="708" t="str">
        <f>IFERROR('2. Roles &amp; Pricing'!AP180/40,"")</f>
        <v/>
      </c>
      <c r="AO26" s="708" t="str">
        <f>IFERROR('2. Roles &amp; Pricing'!AQ180/40,"")</f>
        <v/>
      </c>
      <c r="AP26" s="708" t="str">
        <f>IFERROR('2. Roles &amp; Pricing'!AR180/40,"")</f>
        <v/>
      </c>
      <c r="AQ26" s="708" t="str">
        <f>IFERROR('2. Roles &amp; Pricing'!AS180/40,"")</f>
        <v/>
      </c>
      <c r="AR26" s="708" t="str">
        <f>IFERROR('2. Roles &amp; Pricing'!AT180/40,"")</f>
        <v/>
      </c>
      <c r="AS26" s="708" t="str">
        <f>IFERROR('2. Roles &amp; Pricing'!AU180/40,"")</f>
        <v/>
      </c>
      <c r="AT26" s="708" t="str">
        <f>IFERROR('2. Roles &amp; Pricing'!AV180/40,"")</f>
        <v/>
      </c>
      <c r="AU26" s="708" t="str">
        <f>IFERROR('2. Roles &amp; Pricing'!AW180/40,"")</f>
        <v/>
      </c>
      <c r="AV26" s="708" t="str">
        <f>IFERROR('2. Roles &amp; Pricing'!AX180/40,"")</f>
        <v/>
      </c>
      <c r="AW26" s="708" t="str">
        <f>IFERROR('2. Roles &amp; Pricing'!AY180/40,"")</f>
        <v/>
      </c>
      <c r="AX26" s="708" t="str">
        <f>IFERROR('2. Roles &amp; Pricing'!AZ180/40,"")</f>
        <v/>
      </c>
      <c r="AY26" s="708" t="str">
        <f>IFERROR('2. Roles &amp; Pricing'!BA180/40,"")</f>
        <v/>
      </c>
      <c r="AZ26" s="708" t="str">
        <f>IFERROR('2. Roles &amp; Pricing'!BB180/40,"")</f>
        <v/>
      </c>
      <c r="BA26" s="708" t="str">
        <f>IFERROR('2. Roles &amp; Pricing'!BC180/40,"")</f>
        <v/>
      </c>
      <c r="BB26" s="708" t="str">
        <f>IFERROR('2. Roles &amp; Pricing'!BD180/40,"")</f>
        <v/>
      </c>
      <c r="BC26" s="708" t="str">
        <f>IFERROR('2. Roles &amp; Pricing'!BE180/40,"")</f>
        <v/>
      </c>
      <c r="BD26" s="708" t="str">
        <f>IFERROR('2. Roles &amp; Pricing'!BF180/40,"")</f>
        <v/>
      </c>
      <c r="BE26" s="708" t="str">
        <f>IFERROR('2. Roles &amp; Pricing'!BG180/40,"")</f>
        <v/>
      </c>
      <c r="BF26" s="708" t="str">
        <f>IFERROR('2. Roles &amp; Pricing'!BH180/40,"")</f>
        <v/>
      </c>
      <c r="BG26" s="708" t="str">
        <f>IFERROR('2. Roles &amp; Pricing'!BI180/40,"")</f>
        <v/>
      </c>
      <c r="BH26" s="708" t="str">
        <f>IFERROR('2. Roles &amp; Pricing'!BJ180/40,"")</f>
        <v/>
      </c>
      <c r="BI26" s="708" t="str">
        <f>IFERROR('2. Roles &amp; Pricing'!BK180/40,"")</f>
        <v/>
      </c>
      <c r="BJ26" s="708" t="str">
        <f>IFERROR('2. Roles &amp; Pricing'!BL180/40,"")</f>
        <v/>
      </c>
      <c r="BK26" s="708" t="str">
        <f>IFERROR('2. Roles &amp; Pricing'!BM180/40,"")</f>
        <v/>
      </c>
      <c r="BL26" s="708" t="str">
        <f>IFERROR('2. Roles &amp; Pricing'!BN180/40,"")</f>
        <v/>
      </c>
      <c r="BM26" s="708" t="str">
        <f>IFERROR('2. Roles &amp; Pricing'!BO180/40,"")</f>
        <v/>
      </c>
      <c r="BN26" s="212">
        <f t="shared" si="49"/>
        <v>0</v>
      </c>
      <c r="BO26" s="213">
        <f t="shared" si="50"/>
        <v>0</v>
      </c>
      <c r="BP26" s="199" t="str">
        <f>'2. Roles &amp; Pricing'!D301</f>
        <v/>
      </c>
      <c r="BQ26" s="199">
        <f>'2. Roles &amp; Pricing'!F301</f>
        <v>0</v>
      </c>
      <c r="BR26" s="623">
        <f>'2. Roles &amp; Pricing'!F301</f>
        <v>0</v>
      </c>
      <c r="BS26" s="200">
        <f>'2. Roles &amp; Pricing'!I301</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Pricing'!D59</f>
        <v>0</v>
      </c>
      <c r="H27" s="194">
        <f>'2. Roles &amp; Pricing'!F59</f>
        <v>0</v>
      </c>
      <c r="I27" s="210">
        <f>'2. Roles &amp; Pricing'!F59</f>
        <v>0</v>
      </c>
      <c r="J27" s="210">
        <f>'2. Roles &amp; Pricing'!K59</f>
        <v>0</v>
      </c>
      <c r="K27" s="197" t="str">
        <f>'2. Roles &amp; Pricing'!W59</f>
        <v xml:space="preserve"> </v>
      </c>
      <c r="L27" s="209"/>
      <c r="M27" s="210"/>
      <c r="N27" s="707" t="str">
        <f>IFERROR('2. Roles &amp; Pricing'!F181/40,"")</f>
        <v/>
      </c>
      <c r="O27" s="707" t="str">
        <f>IFERROR('2. Roles &amp; Pricing'!I181/40,"")</f>
        <v/>
      </c>
      <c r="P27" s="707" t="str">
        <f>IFERROR('2. Roles &amp; Pricing'!K181/40,"")</f>
        <v/>
      </c>
      <c r="Q27" s="707" t="str">
        <f>IFERROR('2. Roles &amp; Pricing'!L181/40,"")</f>
        <v/>
      </c>
      <c r="R27" s="707" t="str">
        <f>IFERROR('2. Roles &amp; Pricing'!M181/40,"")</f>
        <v/>
      </c>
      <c r="S27" s="707" t="str">
        <f>IFERROR('2. Roles &amp; Pricing'!N181/40,"")</f>
        <v/>
      </c>
      <c r="T27" s="707" t="str">
        <f>IFERROR('2. Roles &amp; Pricing'!O181/40,"")</f>
        <v/>
      </c>
      <c r="U27" s="709" t="str">
        <f>IFERROR('2. Roles &amp; Pricing'!P181/40,"")</f>
        <v/>
      </c>
      <c r="V27" s="709" t="str">
        <f>IFERROR('2. Roles &amp; Pricing'!Q181/40,"")</f>
        <v/>
      </c>
      <c r="W27" s="709" t="str">
        <f>IFERROR('2. Roles &amp; Pricing'!R181/40,"")</f>
        <v/>
      </c>
      <c r="X27" s="708" t="str">
        <f>IFERROR('2. Roles &amp; Pricing'!S181/40,"")</f>
        <v/>
      </c>
      <c r="Y27" s="708" t="str">
        <f>IFERROR('2. Roles &amp; Pricing'!T181/40,"")</f>
        <v/>
      </c>
      <c r="Z27" s="708" t="str">
        <f>IFERROR('2. Roles &amp; Pricing'!U181/40,"")</f>
        <v/>
      </c>
      <c r="AA27" s="708" t="str">
        <f>IFERROR('2. Roles &amp; Pricing'!Y181/40,"")</f>
        <v/>
      </c>
      <c r="AB27" s="708" t="str">
        <f>IFERROR('2. Roles &amp; Pricing'!Z181/40,"")</f>
        <v/>
      </c>
      <c r="AC27" s="708" t="str">
        <f>IFERROR('2. Roles &amp; Pricing'!AA181/40,"")</f>
        <v/>
      </c>
      <c r="AD27" s="708" t="str">
        <f>IFERROR('2. Roles &amp; Pricing'!AB181/40,"")</f>
        <v/>
      </c>
      <c r="AE27" s="708" t="str">
        <f>IFERROR('2. Roles &amp; Pricing'!AG181/40,"")</f>
        <v/>
      </c>
      <c r="AF27" s="708" t="str">
        <f>IFERROR('2. Roles &amp; Pricing'!AH181/40,"")</f>
        <v/>
      </c>
      <c r="AG27" s="708" t="str">
        <f>IFERROR('2. Roles &amp; Pricing'!AI181/40,"")</f>
        <v/>
      </c>
      <c r="AH27" s="708" t="str">
        <f>IFERROR('2. Roles &amp; Pricing'!AJ181/40,"")</f>
        <v/>
      </c>
      <c r="AI27" s="708" t="str">
        <f>IFERROR('2. Roles &amp; Pricing'!AK181/40,"")</f>
        <v/>
      </c>
      <c r="AJ27" s="708" t="str">
        <f>IFERROR('2. Roles &amp; Pricing'!AL181/40,"")</f>
        <v/>
      </c>
      <c r="AK27" s="708" t="str">
        <f>IFERROR('2. Roles &amp; Pricing'!AM181/40,"")</f>
        <v/>
      </c>
      <c r="AL27" s="708" t="str">
        <f>IFERROR('2. Roles &amp; Pricing'!AN181/40,"")</f>
        <v/>
      </c>
      <c r="AM27" s="708" t="str">
        <f>IFERROR('2. Roles &amp; Pricing'!AO181/40,"")</f>
        <v/>
      </c>
      <c r="AN27" s="708" t="str">
        <f>IFERROR('2. Roles &amp; Pricing'!AP181/40,"")</f>
        <v/>
      </c>
      <c r="AO27" s="708" t="str">
        <f>IFERROR('2. Roles &amp; Pricing'!AQ181/40,"")</f>
        <v/>
      </c>
      <c r="AP27" s="708" t="str">
        <f>IFERROR('2. Roles &amp; Pricing'!AR181/40,"")</f>
        <v/>
      </c>
      <c r="AQ27" s="708" t="str">
        <f>IFERROR('2. Roles &amp; Pricing'!AS181/40,"")</f>
        <v/>
      </c>
      <c r="AR27" s="708" t="str">
        <f>IFERROR('2. Roles &amp; Pricing'!AT181/40,"")</f>
        <v/>
      </c>
      <c r="AS27" s="708" t="str">
        <f>IFERROR('2. Roles &amp; Pricing'!AU181/40,"")</f>
        <v/>
      </c>
      <c r="AT27" s="708" t="str">
        <f>IFERROR('2. Roles &amp; Pricing'!AV181/40,"")</f>
        <v/>
      </c>
      <c r="AU27" s="708" t="str">
        <f>IFERROR('2. Roles &amp; Pricing'!AW181/40,"")</f>
        <v/>
      </c>
      <c r="AV27" s="708" t="str">
        <f>IFERROR('2. Roles &amp; Pricing'!AX181/40,"")</f>
        <v/>
      </c>
      <c r="AW27" s="708" t="str">
        <f>IFERROR('2. Roles &amp; Pricing'!AY181/40,"")</f>
        <v/>
      </c>
      <c r="AX27" s="708" t="str">
        <f>IFERROR('2. Roles &amp; Pricing'!AZ181/40,"")</f>
        <v/>
      </c>
      <c r="AY27" s="708" t="str">
        <f>IFERROR('2. Roles &amp; Pricing'!BA181/40,"")</f>
        <v/>
      </c>
      <c r="AZ27" s="708" t="str">
        <f>IFERROR('2. Roles &amp; Pricing'!BB181/40,"")</f>
        <v/>
      </c>
      <c r="BA27" s="708" t="str">
        <f>IFERROR('2. Roles &amp; Pricing'!BC181/40,"")</f>
        <v/>
      </c>
      <c r="BB27" s="708" t="str">
        <f>IFERROR('2. Roles &amp; Pricing'!BD181/40,"")</f>
        <v/>
      </c>
      <c r="BC27" s="708" t="str">
        <f>IFERROR('2. Roles &amp; Pricing'!BE181/40,"")</f>
        <v/>
      </c>
      <c r="BD27" s="708" t="str">
        <f>IFERROR('2. Roles &amp; Pricing'!BF181/40,"")</f>
        <v/>
      </c>
      <c r="BE27" s="708" t="str">
        <f>IFERROR('2. Roles &amp; Pricing'!BG181/40,"")</f>
        <v/>
      </c>
      <c r="BF27" s="708" t="str">
        <f>IFERROR('2. Roles &amp; Pricing'!BH181/40,"")</f>
        <v/>
      </c>
      <c r="BG27" s="708" t="str">
        <f>IFERROR('2. Roles &amp; Pricing'!BI181/40,"")</f>
        <v/>
      </c>
      <c r="BH27" s="708" t="str">
        <f>IFERROR('2. Roles &amp; Pricing'!BJ181/40,"")</f>
        <v/>
      </c>
      <c r="BI27" s="708" t="str">
        <f>IFERROR('2. Roles &amp; Pricing'!BK181/40,"")</f>
        <v/>
      </c>
      <c r="BJ27" s="708" t="str">
        <f>IFERROR('2. Roles &amp; Pricing'!BL181/40,"")</f>
        <v/>
      </c>
      <c r="BK27" s="708" t="str">
        <f>IFERROR('2. Roles &amp; Pricing'!BM181/40,"")</f>
        <v/>
      </c>
      <c r="BL27" s="708" t="str">
        <f>IFERROR('2. Roles &amp; Pricing'!BN181/40,"")</f>
        <v/>
      </c>
      <c r="BM27" s="708" t="str">
        <f>IFERROR('2. Roles &amp; Pricing'!BO181/40,"")</f>
        <v/>
      </c>
      <c r="BN27" s="212">
        <f t="shared" si="49"/>
        <v>0</v>
      </c>
      <c r="BO27" s="213">
        <f t="shared" si="50"/>
        <v>0</v>
      </c>
      <c r="BP27" s="199" t="str">
        <f>'2. Roles &amp; Pricing'!D302</f>
        <v/>
      </c>
      <c r="BQ27" s="199">
        <f>'2. Roles &amp; Pricing'!F302</f>
        <v>0</v>
      </c>
      <c r="BR27" s="623">
        <f>'2. Roles &amp; Pricing'!F302</f>
        <v>0</v>
      </c>
      <c r="BS27" s="200">
        <f>'2. Roles &amp; Pricing'!I302</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Pricing'!D60</f>
        <v>0</v>
      </c>
      <c r="H28" s="194">
        <f>'2. Roles &amp; Pricing'!F60</f>
        <v>0</v>
      </c>
      <c r="I28" s="210">
        <f>'2. Roles &amp; Pricing'!F60</f>
        <v>0</v>
      </c>
      <c r="J28" s="210">
        <f>'2. Roles &amp; Pricing'!K60</f>
        <v>0</v>
      </c>
      <c r="K28" s="197" t="str">
        <f>'2. Roles &amp; Pricing'!W60</f>
        <v xml:space="preserve"> </v>
      </c>
      <c r="L28" s="209"/>
      <c r="M28" s="210"/>
      <c r="N28" s="707" t="str">
        <f>IFERROR('2. Roles &amp; Pricing'!F182/40,"")</f>
        <v/>
      </c>
      <c r="O28" s="707" t="str">
        <f>IFERROR('2. Roles &amp; Pricing'!I182/40,"")</f>
        <v/>
      </c>
      <c r="P28" s="707" t="str">
        <f>IFERROR('2. Roles &amp; Pricing'!K182/40,"")</f>
        <v/>
      </c>
      <c r="Q28" s="707" t="str">
        <f>IFERROR('2. Roles &amp; Pricing'!L182/40,"")</f>
        <v/>
      </c>
      <c r="R28" s="707" t="str">
        <f>IFERROR('2. Roles &amp; Pricing'!M182/40,"")</f>
        <v/>
      </c>
      <c r="S28" s="707" t="str">
        <f>IFERROR('2. Roles &amp; Pricing'!N182/40,"")</f>
        <v/>
      </c>
      <c r="T28" s="707" t="str">
        <f>IFERROR('2. Roles &amp; Pricing'!O182/40,"")</f>
        <v/>
      </c>
      <c r="U28" s="709" t="str">
        <f>IFERROR('2. Roles &amp; Pricing'!P182/40,"")</f>
        <v/>
      </c>
      <c r="V28" s="709" t="str">
        <f>IFERROR('2. Roles &amp; Pricing'!Q182/40,"")</f>
        <v/>
      </c>
      <c r="W28" s="709" t="str">
        <f>IFERROR('2. Roles &amp; Pricing'!R182/40,"")</f>
        <v/>
      </c>
      <c r="X28" s="708" t="str">
        <f>IFERROR('2. Roles &amp; Pricing'!S182/40,"")</f>
        <v/>
      </c>
      <c r="Y28" s="708" t="str">
        <f>IFERROR('2. Roles &amp; Pricing'!T182/40,"")</f>
        <v/>
      </c>
      <c r="Z28" s="708" t="str">
        <f>IFERROR('2. Roles &amp; Pricing'!U182/40,"")</f>
        <v/>
      </c>
      <c r="AA28" s="708" t="str">
        <f>IFERROR('2. Roles &amp; Pricing'!Y182/40,"")</f>
        <v/>
      </c>
      <c r="AB28" s="708" t="str">
        <f>IFERROR('2. Roles &amp; Pricing'!Z182/40,"")</f>
        <v/>
      </c>
      <c r="AC28" s="708" t="str">
        <f>IFERROR('2. Roles &amp; Pricing'!AA182/40,"")</f>
        <v/>
      </c>
      <c r="AD28" s="708" t="str">
        <f>IFERROR('2. Roles &amp; Pricing'!AB182/40,"")</f>
        <v/>
      </c>
      <c r="AE28" s="708" t="str">
        <f>IFERROR('2. Roles &amp; Pricing'!AG182/40,"")</f>
        <v/>
      </c>
      <c r="AF28" s="708" t="str">
        <f>IFERROR('2. Roles &amp; Pricing'!AH182/40,"")</f>
        <v/>
      </c>
      <c r="AG28" s="708" t="str">
        <f>IFERROR('2. Roles &amp; Pricing'!AI182/40,"")</f>
        <v/>
      </c>
      <c r="AH28" s="708" t="str">
        <f>IFERROR('2. Roles &amp; Pricing'!AJ182/40,"")</f>
        <v/>
      </c>
      <c r="AI28" s="708" t="str">
        <f>IFERROR('2. Roles &amp; Pricing'!AK182/40,"")</f>
        <v/>
      </c>
      <c r="AJ28" s="708" t="str">
        <f>IFERROR('2. Roles &amp; Pricing'!AL182/40,"")</f>
        <v/>
      </c>
      <c r="AK28" s="708" t="str">
        <f>IFERROR('2. Roles &amp; Pricing'!AM182/40,"")</f>
        <v/>
      </c>
      <c r="AL28" s="708" t="str">
        <f>IFERROR('2. Roles &amp; Pricing'!AN182/40,"")</f>
        <v/>
      </c>
      <c r="AM28" s="708" t="str">
        <f>IFERROR('2. Roles &amp; Pricing'!AO182/40,"")</f>
        <v/>
      </c>
      <c r="AN28" s="708" t="str">
        <f>IFERROR('2. Roles &amp; Pricing'!AP182/40,"")</f>
        <v/>
      </c>
      <c r="AO28" s="708" t="str">
        <f>IFERROR('2. Roles &amp; Pricing'!AQ182/40,"")</f>
        <v/>
      </c>
      <c r="AP28" s="708" t="str">
        <f>IFERROR('2. Roles &amp; Pricing'!AR182/40,"")</f>
        <v/>
      </c>
      <c r="AQ28" s="708" t="str">
        <f>IFERROR('2. Roles &amp; Pricing'!AS182/40,"")</f>
        <v/>
      </c>
      <c r="AR28" s="708" t="str">
        <f>IFERROR('2. Roles &amp; Pricing'!AT182/40,"")</f>
        <v/>
      </c>
      <c r="AS28" s="708" t="str">
        <f>IFERROR('2. Roles &amp; Pricing'!AU182/40,"")</f>
        <v/>
      </c>
      <c r="AT28" s="708" t="str">
        <f>IFERROR('2. Roles &amp; Pricing'!AV182/40,"")</f>
        <v/>
      </c>
      <c r="AU28" s="708" t="str">
        <f>IFERROR('2. Roles &amp; Pricing'!AW182/40,"")</f>
        <v/>
      </c>
      <c r="AV28" s="708" t="str">
        <f>IFERROR('2. Roles &amp; Pricing'!AX182/40,"")</f>
        <v/>
      </c>
      <c r="AW28" s="708" t="str">
        <f>IFERROR('2. Roles &amp; Pricing'!AY182/40,"")</f>
        <v/>
      </c>
      <c r="AX28" s="708" t="str">
        <f>IFERROR('2. Roles &amp; Pricing'!AZ182/40,"")</f>
        <v/>
      </c>
      <c r="AY28" s="708" t="str">
        <f>IFERROR('2. Roles &amp; Pricing'!BA182/40,"")</f>
        <v/>
      </c>
      <c r="AZ28" s="708" t="str">
        <f>IFERROR('2. Roles &amp; Pricing'!BB182/40,"")</f>
        <v/>
      </c>
      <c r="BA28" s="708" t="str">
        <f>IFERROR('2. Roles &amp; Pricing'!BC182/40,"")</f>
        <v/>
      </c>
      <c r="BB28" s="708" t="str">
        <f>IFERROR('2. Roles &amp; Pricing'!BD182/40,"")</f>
        <v/>
      </c>
      <c r="BC28" s="708" t="str">
        <f>IFERROR('2. Roles &amp; Pricing'!BE182/40,"")</f>
        <v/>
      </c>
      <c r="BD28" s="708" t="str">
        <f>IFERROR('2. Roles &amp; Pricing'!BF182/40,"")</f>
        <v/>
      </c>
      <c r="BE28" s="708" t="str">
        <f>IFERROR('2. Roles &amp; Pricing'!BG182/40,"")</f>
        <v/>
      </c>
      <c r="BF28" s="708" t="str">
        <f>IFERROR('2. Roles &amp; Pricing'!BH182/40,"")</f>
        <v/>
      </c>
      <c r="BG28" s="708" t="str">
        <f>IFERROR('2. Roles &amp; Pricing'!BI182/40,"")</f>
        <v/>
      </c>
      <c r="BH28" s="708" t="str">
        <f>IFERROR('2. Roles &amp; Pricing'!BJ182/40,"")</f>
        <v/>
      </c>
      <c r="BI28" s="708" t="str">
        <f>IFERROR('2. Roles &amp; Pricing'!BK182/40,"")</f>
        <v/>
      </c>
      <c r="BJ28" s="708" t="str">
        <f>IFERROR('2. Roles &amp; Pricing'!BL182/40,"")</f>
        <v/>
      </c>
      <c r="BK28" s="708" t="str">
        <f>IFERROR('2. Roles &amp; Pricing'!BM182/40,"")</f>
        <v/>
      </c>
      <c r="BL28" s="708" t="str">
        <f>IFERROR('2. Roles &amp; Pricing'!BN182/40,"")</f>
        <v/>
      </c>
      <c r="BM28" s="708" t="str">
        <f>IFERROR('2. Roles &amp; Pricing'!BO182/40,"")</f>
        <v/>
      </c>
      <c r="BN28" s="212">
        <f t="shared" si="49"/>
        <v>0</v>
      </c>
      <c r="BO28" s="213">
        <f t="shared" si="50"/>
        <v>0</v>
      </c>
      <c r="BP28" s="199" t="str">
        <f>'2. Roles &amp; Pricing'!D303</f>
        <v/>
      </c>
      <c r="BQ28" s="199">
        <f>'2. Roles &amp; Pricing'!F303</f>
        <v>0</v>
      </c>
      <c r="BR28" s="623">
        <f>'2. Roles &amp; Pricing'!F303</f>
        <v>0</v>
      </c>
      <c r="BS28" s="200">
        <f>'2. Roles &amp; Pricing'!I303</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Pricing'!D61</f>
        <v>0</v>
      </c>
      <c r="H29" s="194">
        <f>'2. Roles &amp; Pricing'!F61</f>
        <v>0</v>
      </c>
      <c r="I29" s="210">
        <f>'2. Roles &amp; Pricing'!F61</f>
        <v>0</v>
      </c>
      <c r="J29" s="210">
        <f>'2. Roles &amp; Pricing'!K61</f>
        <v>0</v>
      </c>
      <c r="K29" s="197" t="str">
        <f>'2. Roles &amp; Pricing'!W61</f>
        <v xml:space="preserve"> </v>
      </c>
      <c r="L29" s="209"/>
      <c r="M29" s="210"/>
      <c r="N29" s="707" t="str">
        <f>IFERROR('2. Roles &amp; Pricing'!F183/40,"")</f>
        <v/>
      </c>
      <c r="O29" s="707" t="str">
        <f>IFERROR('2. Roles &amp; Pricing'!I183/40,"")</f>
        <v/>
      </c>
      <c r="P29" s="707" t="str">
        <f>IFERROR('2. Roles &amp; Pricing'!K183/40,"")</f>
        <v/>
      </c>
      <c r="Q29" s="707" t="str">
        <f>IFERROR('2. Roles &amp; Pricing'!L183/40,"")</f>
        <v/>
      </c>
      <c r="R29" s="707" t="str">
        <f>IFERROR('2. Roles &amp; Pricing'!M183/40,"")</f>
        <v/>
      </c>
      <c r="S29" s="707" t="str">
        <f>IFERROR('2. Roles &amp; Pricing'!N183/40,"")</f>
        <v/>
      </c>
      <c r="T29" s="707" t="str">
        <f>IFERROR('2. Roles &amp; Pricing'!O183/40,"")</f>
        <v/>
      </c>
      <c r="U29" s="709" t="str">
        <f>IFERROR('2. Roles &amp; Pricing'!P183/40,"")</f>
        <v/>
      </c>
      <c r="V29" s="709" t="str">
        <f>IFERROR('2. Roles &amp; Pricing'!Q183/40,"")</f>
        <v/>
      </c>
      <c r="W29" s="709" t="str">
        <f>IFERROR('2. Roles &amp; Pricing'!R183/40,"")</f>
        <v/>
      </c>
      <c r="X29" s="708" t="str">
        <f>IFERROR('2. Roles &amp; Pricing'!S183/40,"")</f>
        <v/>
      </c>
      <c r="Y29" s="708" t="str">
        <f>IFERROR('2. Roles &amp; Pricing'!T183/40,"")</f>
        <v/>
      </c>
      <c r="Z29" s="708" t="str">
        <f>IFERROR('2. Roles &amp; Pricing'!U183/40,"")</f>
        <v/>
      </c>
      <c r="AA29" s="708" t="str">
        <f>IFERROR('2. Roles &amp; Pricing'!Y183/40,"")</f>
        <v/>
      </c>
      <c r="AB29" s="708" t="str">
        <f>IFERROR('2. Roles &amp; Pricing'!Z183/40,"")</f>
        <v/>
      </c>
      <c r="AC29" s="708" t="str">
        <f>IFERROR('2. Roles &amp; Pricing'!AA183/40,"")</f>
        <v/>
      </c>
      <c r="AD29" s="708" t="str">
        <f>IFERROR('2. Roles &amp; Pricing'!AB183/40,"")</f>
        <v/>
      </c>
      <c r="AE29" s="708" t="str">
        <f>IFERROR('2. Roles &amp; Pricing'!AG183/40,"")</f>
        <v/>
      </c>
      <c r="AF29" s="708" t="str">
        <f>IFERROR('2. Roles &amp; Pricing'!AH183/40,"")</f>
        <v/>
      </c>
      <c r="AG29" s="708" t="str">
        <f>IFERROR('2. Roles &amp; Pricing'!AI183/40,"")</f>
        <v/>
      </c>
      <c r="AH29" s="708" t="str">
        <f>IFERROR('2. Roles &amp; Pricing'!AJ183/40,"")</f>
        <v/>
      </c>
      <c r="AI29" s="708" t="str">
        <f>IFERROR('2. Roles &amp; Pricing'!AK183/40,"")</f>
        <v/>
      </c>
      <c r="AJ29" s="708" t="str">
        <f>IFERROR('2. Roles &amp; Pricing'!AL183/40,"")</f>
        <v/>
      </c>
      <c r="AK29" s="708" t="str">
        <f>IFERROR('2. Roles &amp; Pricing'!AM183/40,"")</f>
        <v/>
      </c>
      <c r="AL29" s="708" t="str">
        <f>IFERROR('2. Roles &amp; Pricing'!AN183/40,"")</f>
        <v/>
      </c>
      <c r="AM29" s="708" t="str">
        <f>IFERROR('2. Roles &amp; Pricing'!AO183/40,"")</f>
        <v/>
      </c>
      <c r="AN29" s="708" t="str">
        <f>IFERROR('2. Roles &amp; Pricing'!AP183/40,"")</f>
        <v/>
      </c>
      <c r="AO29" s="708" t="str">
        <f>IFERROR('2. Roles &amp; Pricing'!AQ183/40,"")</f>
        <v/>
      </c>
      <c r="AP29" s="708" t="str">
        <f>IFERROR('2. Roles &amp; Pricing'!AR183/40,"")</f>
        <v/>
      </c>
      <c r="AQ29" s="708" t="str">
        <f>IFERROR('2. Roles &amp; Pricing'!AS183/40,"")</f>
        <v/>
      </c>
      <c r="AR29" s="708" t="str">
        <f>IFERROR('2. Roles &amp; Pricing'!AT183/40,"")</f>
        <v/>
      </c>
      <c r="AS29" s="708" t="str">
        <f>IFERROR('2. Roles &amp; Pricing'!AU183/40,"")</f>
        <v/>
      </c>
      <c r="AT29" s="708" t="str">
        <f>IFERROR('2. Roles &amp; Pricing'!AV183/40,"")</f>
        <v/>
      </c>
      <c r="AU29" s="708" t="str">
        <f>IFERROR('2. Roles &amp; Pricing'!AW183/40,"")</f>
        <v/>
      </c>
      <c r="AV29" s="708" t="str">
        <f>IFERROR('2. Roles &amp; Pricing'!AX183/40,"")</f>
        <v/>
      </c>
      <c r="AW29" s="708" t="str">
        <f>IFERROR('2. Roles &amp; Pricing'!AY183/40,"")</f>
        <v/>
      </c>
      <c r="AX29" s="708" t="str">
        <f>IFERROR('2. Roles &amp; Pricing'!AZ183/40,"")</f>
        <v/>
      </c>
      <c r="AY29" s="708" t="str">
        <f>IFERROR('2. Roles &amp; Pricing'!BA183/40,"")</f>
        <v/>
      </c>
      <c r="AZ29" s="708" t="str">
        <f>IFERROR('2. Roles &amp; Pricing'!BB183/40,"")</f>
        <v/>
      </c>
      <c r="BA29" s="708" t="str">
        <f>IFERROR('2. Roles &amp; Pricing'!BC183/40,"")</f>
        <v/>
      </c>
      <c r="BB29" s="708" t="str">
        <f>IFERROR('2. Roles &amp; Pricing'!BD183/40,"")</f>
        <v/>
      </c>
      <c r="BC29" s="708" t="str">
        <f>IFERROR('2. Roles &amp; Pricing'!BE183/40,"")</f>
        <v/>
      </c>
      <c r="BD29" s="708" t="str">
        <f>IFERROR('2. Roles &amp; Pricing'!BF183/40,"")</f>
        <v/>
      </c>
      <c r="BE29" s="708" t="str">
        <f>IFERROR('2. Roles &amp; Pricing'!BG183/40,"")</f>
        <v/>
      </c>
      <c r="BF29" s="708" t="str">
        <f>IFERROR('2. Roles &amp; Pricing'!BH183/40,"")</f>
        <v/>
      </c>
      <c r="BG29" s="708" t="str">
        <f>IFERROR('2. Roles &amp; Pricing'!BI183/40,"")</f>
        <v/>
      </c>
      <c r="BH29" s="708" t="str">
        <f>IFERROR('2. Roles &amp; Pricing'!BJ183/40,"")</f>
        <v/>
      </c>
      <c r="BI29" s="708" t="str">
        <f>IFERROR('2. Roles &amp; Pricing'!BK183/40,"")</f>
        <v/>
      </c>
      <c r="BJ29" s="708" t="str">
        <f>IFERROR('2. Roles &amp; Pricing'!BL183/40,"")</f>
        <v/>
      </c>
      <c r="BK29" s="708" t="str">
        <f>IFERROR('2. Roles &amp; Pricing'!BM183/40,"")</f>
        <v/>
      </c>
      <c r="BL29" s="708" t="str">
        <f>IFERROR('2. Roles &amp; Pricing'!BN183/40,"")</f>
        <v/>
      </c>
      <c r="BM29" s="708" t="str">
        <f>IFERROR('2. Roles &amp; Pricing'!BO183/40,"")</f>
        <v/>
      </c>
      <c r="BN29" s="212">
        <f t="shared" si="49"/>
        <v>0</v>
      </c>
      <c r="BO29" s="213">
        <f t="shared" si="50"/>
        <v>0</v>
      </c>
      <c r="BP29" s="199" t="str">
        <f>'2. Roles &amp; Pricing'!D304</f>
        <v/>
      </c>
      <c r="BQ29" s="199">
        <f>'2. Roles &amp; Pricing'!F304</f>
        <v>0</v>
      </c>
      <c r="BR29" s="623">
        <f>'2. Roles &amp; Pricing'!F304</f>
        <v>0</v>
      </c>
      <c r="BS29" s="200">
        <f>'2. Roles &amp; Pricing'!I304</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Pricing'!D62</f>
        <v>0</v>
      </c>
      <c r="H30" s="194">
        <f>'2. Roles &amp; Pricing'!F62</f>
        <v>0</v>
      </c>
      <c r="I30" s="210">
        <f>'2. Roles &amp; Pricing'!F62</f>
        <v>0</v>
      </c>
      <c r="J30" s="210">
        <f>'2. Roles &amp; Pricing'!K62</f>
        <v>0</v>
      </c>
      <c r="K30" s="197" t="str">
        <f>'2. Roles &amp; Pricing'!W62</f>
        <v xml:space="preserve"> </v>
      </c>
      <c r="L30" s="209"/>
      <c r="M30" s="210"/>
      <c r="N30" s="707" t="str">
        <f>IFERROR('2. Roles &amp; Pricing'!F184/40,"")</f>
        <v/>
      </c>
      <c r="O30" s="707" t="str">
        <f>IFERROR('2. Roles &amp; Pricing'!I184/40,"")</f>
        <v/>
      </c>
      <c r="P30" s="707" t="str">
        <f>IFERROR('2. Roles &amp; Pricing'!K184/40,"")</f>
        <v/>
      </c>
      <c r="Q30" s="707" t="str">
        <f>IFERROR('2. Roles &amp; Pricing'!L184/40,"")</f>
        <v/>
      </c>
      <c r="R30" s="707" t="str">
        <f>IFERROR('2. Roles &amp; Pricing'!M184/40,"")</f>
        <v/>
      </c>
      <c r="S30" s="707" t="str">
        <f>IFERROR('2. Roles &amp; Pricing'!N184/40,"")</f>
        <v/>
      </c>
      <c r="T30" s="707" t="str">
        <f>IFERROR('2. Roles &amp; Pricing'!O184/40,"")</f>
        <v/>
      </c>
      <c r="U30" s="709" t="str">
        <f>IFERROR('2. Roles &amp; Pricing'!P184/40,"")</f>
        <v/>
      </c>
      <c r="V30" s="709" t="str">
        <f>IFERROR('2. Roles &amp; Pricing'!Q184/40,"")</f>
        <v/>
      </c>
      <c r="W30" s="709" t="str">
        <f>IFERROR('2. Roles &amp; Pricing'!R184/40,"")</f>
        <v/>
      </c>
      <c r="X30" s="708" t="str">
        <f>IFERROR('2. Roles &amp; Pricing'!S184/40,"")</f>
        <v/>
      </c>
      <c r="Y30" s="708" t="str">
        <f>IFERROR('2. Roles &amp; Pricing'!T184/40,"")</f>
        <v/>
      </c>
      <c r="Z30" s="708" t="str">
        <f>IFERROR('2. Roles &amp; Pricing'!U184/40,"")</f>
        <v/>
      </c>
      <c r="AA30" s="708" t="str">
        <f>IFERROR('2. Roles &amp; Pricing'!Y184/40,"")</f>
        <v/>
      </c>
      <c r="AB30" s="708" t="str">
        <f>IFERROR('2. Roles &amp; Pricing'!Z184/40,"")</f>
        <v/>
      </c>
      <c r="AC30" s="708" t="str">
        <f>IFERROR('2. Roles &amp; Pricing'!AA184/40,"")</f>
        <v/>
      </c>
      <c r="AD30" s="708" t="str">
        <f>IFERROR('2. Roles &amp; Pricing'!AB184/40,"")</f>
        <v/>
      </c>
      <c r="AE30" s="708" t="str">
        <f>IFERROR('2. Roles &amp; Pricing'!AG184/40,"")</f>
        <v/>
      </c>
      <c r="AF30" s="708" t="str">
        <f>IFERROR('2. Roles &amp; Pricing'!AH184/40,"")</f>
        <v/>
      </c>
      <c r="AG30" s="708" t="str">
        <f>IFERROR('2. Roles &amp; Pricing'!AI184/40,"")</f>
        <v/>
      </c>
      <c r="AH30" s="708" t="str">
        <f>IFERROR('2. Roles &amp; Pricing'!AJ184/40,"")</f>
        <v/>
      </c>
      <c r="AI30" s="708" t="str">
        <f>IFERROR('2. Roles &amp; Pricing'!AK184/40,"")</f>
        <v/>
      </c>
      <c r="AJ30" s="708" t="str">
        <f>IFERROR('2. Roles &amp; Pricing'!AL184/40,"")</f>
        <v/>
      </c>
      <c r="AK30" s="708" t="str">
        <f>IFERROR('2. Roles &amp; Pricing'!AM184/40,"")</f>
        <v/>
      </c>
      <c r="AL30" s="708" t="str">
        <f>IFERROR('2. Roles &amp; Pricing'!AN184/40,"")</f>
        <v/>
      </c>
      <c r="AM30" s="708" t="str">
        <f>IFERROR('2. Roles &amp; Pricing'!AO184/40,"")</f>
        <v/>
      </c>
      <c r="AN30" s="708" t="str">
        <f>IFERROR('2. Roles &amp; Pricing'!AP184/40,"")</f>
        <v/>
      </c>
      <c r="AO30" s="708" t="str">
        <f>IFERROR('2. Roles &amp; Pricing'!AQ184/40,"")</f>
        <v/>
      </c>
      <c r="AP30" s="708" t="str">
        <f>IFERROR('2. Roles &amp; Pricing'!AR184/40,"")</f>
        <v/>
      </c>
      <c r="AQ30" s="708" t="str">
        <f>IFERROR('2. Roles &amp; Pricing'!AS184/40,"")</f>
        <v/>
      </c>
      <c r="AR30" s="708" t="str">
        <f>IFERROR('2. Roles &amp; Pricing'!AT184/40,"")</f>
        <v/>
      </c>
      <c r="AS30" s="708" t="str">
        <f>IFERROR('2. Roles &amp; Pricing'!AU184/40,"")</f>
        <v/>
      </c>
      <c r="AT30" s="708" t="str">
        <f>IFERROR('2. Roles &amp; Pricing'!AV184/40,"")</f>
        <v/>
      </c>
      <c r="AU30" s="708" t="str">
        <f>IFERROR('2. Roles &amp; Pricing'!AW184/40,"")</f>
        <v/>
      </c>
      <c r="AV30" s="708" t="str">
        <f>IFERROR('2. Roles &amp; Pricing'!AX184/40,"")</f>
        <v/>
      </c>
      <c r="AW30" s="708" t="str">
        <f>IFERROR('2. Roles &amp; Pricing'!AY184/40,"")</f>
        <v/>
      </c>
      <c r="AX30" s="708" t="str">
        <f>IFERROR('2. Roles &amp; Pricing'!AZ184/40,"")</f>
        <v/>
      </c>
      <c r="AY30" s="708" t="str">
        <f>IFERROR('2. Roles &amp; Pricing'!BA184/40,"")</f>
        <v/>
      </c>
      <c r="AZ30" s="708" t="str">
        <f>IFERROR('2. Roles &amp; Pricing'!BB184/40,"")</f>
        <v/>
      </c>
      <c r="BA30" s="708" t="str">
        <f>IFERROR('2. Roles &amp; Pricing'!BC184/40,"")</f>
        <v/>
      </c>
      <c r="BB30" s="708" t="str">
        <f>IFERROR('2. Roles &amp; Pricing'!BD184/40,"")</f>
        <v/>
      </c>
      <c r="BC30" s="708" t="str">
        <f>IFERROR('2. Roles &amp; Pricing'!BE184/40,"")</f>
        <v/>
      </c>
      <c r="BD30" s="708" t="str">
        <f>IFERROR('2. Roles &amp; Pricing'!BF184/40,"")</f>
        <v/>
      </c>
      <c r="BE30" s="708" t="str">
        <f>IFERROR('2. Roles &amp; Pricing'!BG184/40,"")</f>
        <v/>
      </c>
      <c r="BF30" s="708" t="str">
        <f>IFERROR('2. Roles &amp; Pricing'!BH184/40,"")</f>
        <v/>
      </c>
      <c r="BG30" s="708" t="str">
        <f>IFERROR('2. Roles &amp; Pricing'!BI184/40,"")</f>
        <v/>
      </c>
      <c r="BH30" s="708" t="str">
        <f>IFERROR('2. Roles &amp; Pricing'!BJ184/40,"")</f>
        <v/>
      </c>
      <c r="BI30" s="708" t="str">
        <f>IFERROR('2. Roles &amp; Pricing'!BK184/40,"")</f>
        <v/>
      </c>
      <c r="BJ30" s="708" t="str">
        <f>IFERROR('2. Roles &amp; Pricing'!BL184/40,"")</f>
        <v/>
      </c>
      <c r="BK30" s="708" t="str">
        <f>IFERROR('2. Roles &amp; Pricing'!BM184/40,"")</f>
        <v/>
      </c>
      <c r="BL30" s="708" t="str">
        <f>IFERROR('2. Roles &amp; Pricing'!BN184/40,"")</f>
        <v/>
      </c>
      <c r="BM30" s="708" t="str">
        <f>IFERROR('2. Roles &amp; Pricing'!BO184/40,"")</f>
        <v/>
      </c>
      <c r="BN30" s="212">
        <f t="shared" si="49"/>
        <v>0</v>
      </c>
      <c r="BO30" s="213">
        <f t="shared" si="50"/>
        <v>0</v>
      </c>
      <c r="BP30" s="199" t="str">
        <f>'2. Roles &amp; Pricing'!D305</f>
        <v/>
      </c>
      <c r="BQ30" s="199">
        <f>'2. Roles &amp; Pricing'!F305</f>
        <v>0</v>
      </c>
      <c r="BR30" s="623">
        <f>'2. Roles &amp; Pricing'!F305</f>
        <v>0</v>
      </c>
      <c r="BS30" s="200">
        <f>'2. Roles &amp; Pricing'!I305</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Pricing'!D63</f>
        <v>0</v>
      </c>
      <c r="H31" s="194">
        <f>'2. Roles &amp; Pricing'!F63</f>
        <v>0</v>
      </c>
      <c r="I31" s="221">
        <f>'2. Roles &amp; Pricing'!F63</f>
        <v>0</v>
      </c>
      <c r="J31" s="221">
        <f>'2. Roles &amp; Pricing'!K63</f>
        <v>0</v>
      </c>
      <c r="K31" s="197" t="str">
        <f>'2. Roles &amp; Pricing'!W63</f>
        <v xml:space="preserve"> </v>
      </c>
      <c r="L31" s="220"/>
      <c r="M31" s="221"/>
      <c r="N31" s="707" t="str">
        <f>IFERROR('2. Roles &amp; Pricing'!F185/40,"")</f>
        <v/>
      </c>
      <c r="O31" s="707" t="str">
        <f>IFERROR('2. Roles &amp; Pricing'!I185/40,"")</f>
        <v/>
      </c>
      <c r="P31" s="707" t="str">
        <f>IFERROR('2. Roles &amp; Pricing'!K185/40,"")</f>
        <v/>
      </c>
      <c r="Q31" s="707" t="str">
        <f>IFERROR('2. Roles &amp; Pricing'!L185/40,"")</f>
        <v/>
      </c>
      <c r="R31" s="707" t="str">
        <f>IFERROR('2. Roles &amp; Pricing'!M185/40,"")</f>
        <v/>
      </c>
      <c r="S31" s="707" t="str">
        <f>IFERROR('2. Roles &amp; Pricing'!N185/40,"")</f>
        <v/>
      </c>
      <c r="T31" s="707" t="str">
        <f>IFERROR('2. Roles &amp; Pricing'!O185/40,"")</f>
        <v/>
      </c>
      <c r="U31" s="709" t="str">
        <f>IFERROR('2. Roles &amp; Pricing'!P185/40,"")</f>
        <v/>
      </c>
      <c r="V31" s="709" t="str">
        <f>IFERROR('2. Roles &amp; Pricing'!Q185/40,"")</f>
        <v/>
      </c>
      <c r="W31" s="709" t="str">
        <f>IFERROR('2. Roles &amp; Pricing'!R185/40,"")</f>
        <v/>
      </c>
      <c r="X31" s="708" t="str">
        <f>IFERROR('2. Roles &amp; Pricing'!S185/40,"")</f>
        <v/>
      </c>
      <c r="Y31" s="708" t="str">
        <f>IFERROR('2. Roles &amp; Pricing'!T185/40,"")</f>
        <v/>
      </c>
      <c r="Z31" s="708" t="str">
        <f>IFERROR('2. Roles &amp; Pricing'!U185/40,"")</f>
        <v/>
      </c>
      <c r="AA31" s="708" t="str">
        <f>IFERROR('2. Roles &amp; Pricing'!Y185/40,"")</f>
        <v/>
      </c>
      <c r="AB31" s="708" t="str">
        <f>IFERROR('2. Roles &amp; Pricing'!Z185/40,"")</f>
        <v/>
      </c>
      <c r="AC31" s="708" t="str">
        <f>IFERROR('2. Roles &amp; Pricing'!AA185/40,"")</f>
        <v/>
      </c>
      <c r="AD31" s="708" t="str">
        <f>IFERROR('2. Roles &amp; Pricing'!AB185/40,"")</f>
        <v/>
      </c>
      <c r="AE31" s="708" t="str">
        <f>IFERROR('2. Roles &amp; Pricing'!AG185/40,"")</f>
        <v/>
      </c>
      <c r="AF31" s="708" t="str">
        <f>IFERROR('2. Roles &amp; Pricing'!AH185/40,"")</f>
        <v/>
      </c>
      <c r="AG31" s="708" t="str">
        <f>IFERROR('2. Roles &amp; Pricing'!AI185/40,"")</f>
        <v/>
      </c>
      <c r="AH31" s="708" t="str">
        <f>IFERROR('2. Roles &amp; Pricing'!AJ185/40,"")</f>
        <v/>
      </c>
      <c r="AI31" s="708" t="str">
        <f>IFERROR('2. Roles &amp; Pricing'!AK185/40,"")</f>
        <v/>
      </c>
      <c r="AJ31" s="708" t="str">
        <f>IFERROR('2. Roles &amp; Pricing'!AL185/40,"")</f>
        <v/>
      </c>
      <c r="AK31" s="708" t="str">
        <f>IFERROR('2. Roles &amp; Pricing'!AM185/40,"")</f>
        <v/>
      </c>
      <c r="AL31" s="708" t="str">
        <f>IFERROR('2. Roles &amp; Pricing'!AN185/40,"")</f>
        <v/>
      </c>
      <c r="AM31" s="708" t="str">
        <f>IFERROR('2. Roles &amp; Pricing'!AO185/40,"")</f>
        <v/>
      </c>
      <c r="AN31" s="708" t="str">
        <f>IFERROR('2. Roles &amp; Pricing'!AP185/40,"")</f>
        <v/>
      </c>
      <c r="AO31" s="708" t="str">
        <f>IFERROR('2. Roles &amp; Pricing'!AQ185/40,"")</f>
        <v/>
      </c>
      <c r="AP31" s="708" t="str">
        <f>IFERROR('2. Roles &amp; Pricing'!AR185/40,"")</f>
        <v/>
      </c>
      <c r="AQ31" s="708" t="str">
        <f>IFERROR('2. Roles &amp; Pricing'!AS185/40,"")</f>
        <v/>
      </c>
      <c r="AR31" s="708" t="str">
        <f>IFERROR('2. Roles &amp; Pricing'!AT185/40,"")</f>
        <v/>
      </c>
      <c r="AS31" s="708" t="str">
        <f>IFERROR('2. Roles &amp; Pricing'!AU185/40,"")</f>
        <v/>
      </c>
      <c r="AT31" s="708" t="str">
        <f>IFERROR('2. Roles &amp; Pricing'!AV185/40,"")</f>
        <v/>
      </c>
      <c r="AU31" s="708" t="str">
        <f>IFERROR('2. Roles &amp; Pricing'!AW185/40,"")</f>
        <v/>
      </c>
      <c r="AV31" s="708" t="str">
        <f>IFERROR('2. Roles &amp; Pricing'!AX185/40,"")</f>
        <v/>
      </c>
      <c r="AW31" s="708" t="str">
        <f>IFERROR('2. Roles &amp; Pricing'!AY185/40,"")</f>
        <v/>
      </c>
      <c r="AX31" s="708" t="str">
        <f>IFERROR('2. Roles &amp; Pricing'!AZ185/40,"")</f>
        <v/>
      </c>
      <c r="AY31" s="708" t="str">
        <f>IFERROR('2. Roles &amp; Pricing'!BA185/40,"")</f>
        <v/>
      </c>
      <c r="AZ31" s="708" t="str">
        <f>IFERROR('2. Roles &amp; Pricing'!BB185/40,"")</f>
        <v/>
      </c>
      <c r="BA31" s="708" t="str">
        <f>IFERROR('2. Roles &amp; Pricing'!BC185/40,"")</f>
        <v/>
      </c>
      <c r="BB31" s="708" t="str">
        <f>IFERROR('2. Roles &amp; Pricing'!BD185/40,"")</f>
        <v/>
      </c>
      <c r="BC31" s="708" t="str">
        <f>IFERROR('2. Roles &amp; Pricing'!BE185/40,"")</f>
        <v/>
      </c>
      <c r="BD31" s="708" t="str">
        <f>IFERROR('2. Roles &amp; Pricing'!BF185/40,"")</f>
        <v/>
      </c>
      <c r="BE31" s="708" t="str">
        <f>IFERROR('2. Roles &amp; Pricing'!BG185/40,"")</f>
        <v/>
      </c>
      <c r="BF31" s="708" t="str">
        <f>IFERROR('2. Roles &amp; Pricing'!BH185/40,"")</f>
        <v/>
      </c>
      <c r="BG31" s="708" t="str">
        <f>IFERROR('2. Roles &amp; Pricing'!BI185/40,"")</f>
        <v/>
      </c>
      <c r="BH31" s="708" t="str">
        <f>IFERROR('2. Roles &amp; Pricing'!BJ185/40,"")</f>
        <v/>
      </c>
      <c r="BI31" s="708" t="str">
        <f>IFERROR('2. Roles &amp; Pricing'!BK185/40,"")</f>
        <v/>
      </c>
      <c r="BJ31" s="708" t="str">
        <f>IFERROR('2. Roles &amp; Pricing'!BL185/40,"")</f>
        <v/>
      </c>
      <c r="BK31" s="708" t="str">
        <f>IFERROR('2. Roles &amp; Pricing'!BM185/40,"")</f>
        <v/>
      </c>
      <c r="BL31" s="708" t="str">
        <f>IFERROR('2. Roles &amp; Pricing'!BN185/40,"")</f>
        <v/>
      </c>
      <c r="BM31" s="708" t="str">
        <f>IFERROR('2. Roles &amp; Pricing'!BO185/40,"")</f>
        <v/>
      </c>
      <c r="BN31" s="223">
        <f t="shared" si="49"/>
        <v>0</v>
      </c>
      <c r="BO31" s="224">
        <f t="shared" si="50"/>
        <v>0</v>
      </c>
      <c r="BP31" s="199" t="str">
        <f>'2. Roles &amp; Pricing'!D306</f>
        <v/>
      </c>
      <c r="BQ31" s="199">
        <f>'2. Roles &amp; Pricing'!F306</f>
        <v>0</v>
      </c>
      <c r="BR31" s="623">
        <f>'2. Roles &amp; Pricing'!F306</f>
        <v>0</v>
      </c>
      <c r="BS31" s="200">
        <f>'2. Roles &amp; Pricing'!I306</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Pricing'!D64</f>
        <v>0</v>
      </c>
      <c r="H32" s="194">
        <f>'2. Roles &amp; Pricing'!F64</f>
        <v>0</v>
      </c>
      <c r="I32" s="232">
        <f>'2. Roles &amp; Pricing'!F64</f>
        <v>0</v>
      </c>
      <c r="J32" s="232">
        <f>'2. Roles &amp; Pricing'!K64</f>
        <v>0</v>
      </c>
      <c r="K32" s="233" t="s">
        <v>120</v>
      </c>
      <c r="L32" s="231"/>
      <c r="M32" s="232"/>
      <c r="N32" s="707" t="str">
        <f>IFERROR('2. Roles &amp; Pricing'!F186/40,"")</f>
        <v/>
      </c>
      <c r="O32" s="707" t="str">
        <f>IFERROR('2. Roles &amp; Pricing'!I186/40,"")</f>
        <v/>
      </c>
      <c r="P32" s="707" t="str">
        <f>IFERROR('2. Roles &amp; Pricing'!K186/40,"")</f>
        <v/>
      </c>
      <c r="Q32" s="707" t="str">
        <f>IFERROR('2. Roles &amp; Pricing'!L186/40,"")</f>
        <v/>
      </c>
      <c r="R32" s="707" t="str">
        <f>IFERROR('2. Roles &amp; Pricing'!M186/40,"")</f>
        <v/>
      </c>
      <c r="S32" s="707" t="str">
        <f>IFERROR('2. Roles &amp; Pricing'!N186/40,"")</f>
        <v/>
      </c>
      <c r="T32" s="707" t="str">
        <f>IFERROR('2. Roles &amp; Pricing'!O186/40,"")</f>
        <v/>
      </c>
      <c r="U32" s="709" t="str">
        <f>IFERROR('2. Roles &amp; Pricing'!P186/40,"")</f>
        <v/>
      </c>
      <c r="V32" s="709" t="str">
        <f>IFERROR('2. Roles &amp; Pricing'!Q186/40,"")</f>
        <v/>
      </c>
      <c r="W32" s="709" t="str">
        <f>IFERROR('2. Roles &amp; Pricing'!R186/40,"")</f>
        <v/>
      </c>
      <c r="X32" s="708" t="str">
        <f>IFERROR('2. Roles &amp; Pricing'!S186/40,"")</f>
        <v/>
      </c>
      <c r="Y32" s="708" t="str">
        <f>IFERROR('2. Roles &amp; Pricing'!T186/40,"")</f>
        <v/>
      </c>
      <c r="Z32" s="708" t="str">
        <f>IFERROR('2. Roles &amp; Pricing'!U186/40,"")</f>
        <v/>
      </c>
      <c r="AA32" s="708" t="str">
        <f>IFERROR('2. Roles &amp; Pricing'!Y186/40,"")</f>
        <v/>
      </c>
      <c r="AB32" s="708" t="str">
        <f>IFERROR('2. Roles &amp; Pricing'!Z186/40,"")</f>
        <v/>
      </c>
      <c r="AC32" s="708" t="str">
        <f>IFERROR('2. Roles &amp; Pricing'!AA186/40,"")</f>
        <v/>
      </c>
      <c r="AD32" s="708" t="str">
        <f>IFERROR('2. Roles &amp; Pricing'!AB186/40,"")</f>
        <v/>
      </c>
      <c r="AE32" s="708" t="str">
        <f>IFERROR('2. Roles &amp; Pricing'!AG186/40,"")</f>
        <v/>
      </c>
      <c r="AF32" s="708" t="str">
        <f>IFERROR('2. Roles &amp; Pricing'!AH186/40,"")</f>
        <v/>
      </c>
      <c r="AG32" s="708" t="str">
        <f>IFERROR('2. Roles &amp; Pricing'!AI186/40,"")</f>
        <v/>
      </c>
      <c r="AH32" s="708" t="str">
        <f>IFERROR('2. Roles &amp; Pricing'!AJ186/40,"")</f>
        <v/>
      </c>
      <c r="AI32" s="708" t="str">
        <f>IFERROR('2. Roles &amp; Pricing'!AK186/40,"")</f>
        <v/>
      </c>
      <c r="AJ32" s="708" t="str">
        <f>IFERROR('2. Roles &amp; Pricing'!AL186/40,"")</f>
        <v/>
      </c>
      <c r="AK32" s="708" t="str">
        <f>IFERROR('2. Roles &amp; Pricing'!AM186/40,"")</f>
        <v/>
      </c>
      <c r="AL32" s="708" t="str">
        <f>IFERROR('2. Roles &amp; Pricing'!AN186/40,"")</f>
        <v/>
      </c>
      <c r="AM32" s="708" t="str">
        <f>IFERROR('2. Roles &amp; Pricing'!AO186/40,"")</f>
        <v/>
      </c>
      <c r="AN32" s="708" t="str">
        <f>IFERROR('2. Roles &amp; Pricing'!AP186/40,"")</f>
        <v/>
      </c>
      <c r="AO32" s="708" t="str">
        <f>IFERROR('2. Roles &amp; Pricing'!AQ186/40,"")</f>
        <v/>
      </c>
      <c r="AP32" s="708" t="str">
        <f>IFERROR('2. Roles &amp; Pricing'!AR186/40,"")</f>
        <v/>
      </c>
      <c r="AQ32" s="708" t="str">
        <f>IFERROR('2. Roles &amp; Pricing'!AS186/40,"")</f>
        <v/>
      </c>
      <c r="AR32" s="708" t="str">
        <f>IFERROR('2. Roles &amp; Pricing'!AT186/40,"")</f>
        <v/>
      </c>
      <c r="AS32" s="708" t="str">
        <f>IFERROR('2. Roles &amp; Pricing'!AU186/40,"")</f>
        <v/>
      </c>
      <c r="AT32" s="708" t="str">
        <f>IFERROR('2. Roles &amp; Pricing'!AV186/40,"")</f>
        <v/>
      </c>
      <c r="AU32" s="708" t="str">
        <f>IFERROR('2. Roles &amp; Pricing'!AW186/40,"")</f>
        <v/>
      </c>
      <c r="AV32" s="708" t="str">
        <f>IFERROR('2. Roles &amp; Pricing'!AX186/40,"")</f>
        <v/>
      </c>
      <c r="AW32" s="708" t="str">
        <f>IFERROR('2. Roles &amp; Pricing'!AY186/40,"")</f>
        <v/>
      </c>
      <c r="AX32" s="708" t="str">
        <f>IFERROR('2. Roles &amp; Pricing'!AZ186/40,"")</f>
        <v/>
      </c>
      <c r="AY32" s="708" t="str">
        <f>IFERROR('2. Roles &amp; Pricing'!BA186/40,"")</f>
        <v/>
      </c>
      <c r="AZ32" s="708" t="str">
        <f>IFERROR('2. Roles &amp; Pricing'!BB186/40,"")</f>
        <v/>
      </c>
      <c r="BA32" s="708" t="str">
        <f>IFERROR('2. Roles &amp; Pricing'!BC186/40,"")</f>
        <v/>
      </c>
      <c r="BB32" s="708" t="str">
        <f>IFERROR('2. Roles &amp; Pricing'!BD186/40,"")</f>
        <v/>
      </c>
      <c r="BC32" s="708" t="str">
        <f>IFERROR('2. Roles &amp; Pricing'!BE186/40,"")</f>
        <v/>
      </c>
      <c r="BD32" s="708" t="str">
        <f>IFERROR('2. Roles &amp; Pricing'!BF186/40,"")</f>
        <v/>
      </c>
      <c r="BE32" s="708" t="str">
        <f>IFERROR('2. Roles &amp; Pricing'!BG186/40,"")</f>
        <v/>
      </c>
      <c r="BF32" s="708" t="str">
        <f>IFERROR('2. Roles &amp; Pricing'!BH186/40,"")</f>
        <v/>
      </c>
      <c r="BG32" s="708" t="str">
        <f>IFERROR('2. Roles &amp; Pricing'!BI186/40,"")</f>
        <v/>
      </c>
      <c r="BH32" s="708" t="str">
        <f>IFERROR('2. Roles &amp; Pricing'!BJ186/40,"")</f>
        <v/>
      </c>
      <c r="BI32" s="708" t="str">
        <f>IFERROR('2. Roles &amp; Pricing'!BK186/40,"")</f>
        <v/>
      </c>
      <c r="BJ32" s="708" t="str">
        <f>IFERROR('2. Roles &amp; Pricing'!BL186/40,"")</f>
        <v/>
      </c>
      <c r="BK32" s="708" t="str">
        <f>IFERROR('2. Roles &amp; Pricing'!BM186/40,"")</f>
        <v/>
      </c>
      <c r="BL32" s="708" t="str">
        <f>IFERROR('2. Roles &amp; Pricing'!BN186/40,"")</f>
        <v/>
      </c>
      <c r="BM32" s="708" t="str">
        <f>IFERROR('2. Roles &amp; Pricing'!BO186/40,"")</f>
        <v/>
      </c>
      <c r="BN32" s="234">
        <f t="shared" si="49"/>
        <v>0</v>
      </c>
      <c r="BO32" s="235">
        <f t="shared" si="50"/>
        <v>0</v>
      </c>
      <c r="BP32" s="199" t="str">
        <f>'2. Roles &amp; Pricing'!D307</f>
        <v/>
      </c>
      <c r="BQ32" s="199">
        <f>'2. Roles &amp; Pricing'!F307</f>
        <v>0</v>
      </c>
      <c r="BR32" s="623">
        <f>'2. Roles &amp; Pricing'!F307</f>
        <v>0</v>
      </c>
      <c r="BS32" s="200">
        <f>'2. Roles &amp; Pricing'!I307</f>
        <v>0</v>
      </c>
      <c r="BT32" s="201" t="str">
        <f t="shared" si="51"/>
        <v/>
      </c>
      <c r="BU32" s="236">
        <f t="shared" si="48"/>
        <v>0</v>
      </c>
      <c r="BV32" s="237"/>
      <c r="BW32" s="1772"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Pricing'!D65</f>
        <v>0</v>
      </c>
      <c r="H33" s="194">
        <f>'2. Roles &amp; Pricing'!F65</f>
        <v>0</v>
      </c>
      <c r="I33" s="243">
        <f>'2. Roles &amp; Pricing'!F65</f>
        <v>0</v>
      </c>
      <c r="J33" s="243">
        <f>'2. Roles &amp; Pricing'!K65</f>
        <v>0</v>
      </c>
      <c r="K33" s="244" t="s">
        <v>119</v>
      </c>
      <c r="L33" s="242"/>
      <c r="M33" s="243"/>
      <c r="N33" s="707" t="str">
        <f>IFERROR('2. Roles &amp; Pricing'!F187/40,"")</f>
        <v/>
      </c>
      <c r="O33" s="707" t="str">
        <f>IFERROR('2. Roles &amp; Pricing'!I187/40,"")</f>
        <v/>
      </c>
      <c r="P33" s="707" t="str">
        <f>IFERROR('2. Roles &amp; Pricing'!K187/40,"")</f>
        <v/>
      </c>
      <c r="Q33" s="707" t="str">
        <f>IFERROR('2. Roles &amp; Pricing'!L187/40,"")</f>
        <v/>
      </c>
      <c r="R33" s="707" t="str">
        <f>IFERROR('2. Roles &amp; Pricing'!M187/40,"")</f>
        <v/>
      </c>
      <c r="S33" s="707" t="str">
        <f>IFERROR('2. Roles &amp; Pricing'!N187/40,"")</f>
        <v/>
      </c>
      <c r="T33" s="707" t="str">
        <f>IFERROR('2. Roles &amp; Pricing'!O187/40,"")</f>
        <v/>
      </c>
      <c r="U33" s="709" t="str">
        <f>IFERROR('2. Roles &amp; Pricing'!P187/40,"")</f>
        <v/>
      </c>
      <c r="V33" s="709" t="str">
        <f>IFERROR('2. Roles &amp; Pricing'!Q187/40,"")</f>
        <v/>
      </c>
      <c r="W33" s="709" t="str">
        <f>IFERROR('2. Roles &amp; Pricing'!R187/40,"")</f>
        <v/>
      </c>
      <c r="X33" s="708" t="str">
        <f>IFERROR('2. Roles &amp; Pricing'!S187/40,"")</f>
        <v/>
      </c>
      <c r="Y33" s="708" t="str">
        <f>IFERROR('2. Roles &amp; Pricing'!T187/40,"")</f>
        <v/>
      </c>
      <c r="Z33" s="708" t="str">
        <f>IFERROR('2. Roles &amp; Pricing'!U187/40,"")</f>
        <v/>
      </c>
      <c r="AA33" s="708" t="str">
        <f>IFERROR('2. Roles &amp; Pricing'!Y187/40,"")</f>
        <v/>
      </c>
      <c r="AB33" s="708" t="str">
        <f>IFERROR('2. Roles &amp; Pricing'!Z187/40,"")</f>
        <v/>
      </c>
      <c r="AC33" s="708" t="str">
        <f>IFERROR('2. Roles &amp; Pricing'!AA187/40,"")</f>
        <v/>
      </c>
      <c r="AD33" s="708" t="str">
        <f>IFERROR('2. Roles &amp; Pricing'!AB187/40,"")</f>
        <v/>
      </c>
      <c r="AE33" s="708" t="str">
        <f>IFERROR('2. Roles &amp; Pricing'!AG187/40,"")</f>
        <v/>
      </c>
      <c r="AF33" s="708" t="str">
        <f>IFERROR('2. Roles &amp; Pricing'!AH187/40,"")</f>
        <v/>
      </c>
      <c r="AG33" s="708" t="str">
        <f>IFERROR('2. Roles &amp; Pricing'!AI187/40,"")</f>
        <v/>
      </c>
      <c r="AH33" s="708" t="str">
        <f>IFERROR('2. Roles &amp; Pricing'!AJ187/40,"")</f>
        <v/>
      </c>
      <c r="AI33" s="708" t="str">
        <f>IFERROR('2. Roles &amp; Pricing'!AK187/40,"")</f>
        <v/>
      </c>
      <c r="AJ33" s="708" t="str">
        <f>IFERROR('2. Roles &amp; Pricing'!AL187/40,"")</f>
        <v/>
      </c>
      <c r="AK33" s="708" t="str">
        <f>IFERROR('2. Roles &amp; Pricing'!AM187/40,"")</f>
        <v/>
      </c>
      <c r="AL33" s="708" t="str">
        <f>IFERROR('2. Roles &amp; Pricing'!AN187/40,"")</f>
        <v/>
      </c>
      <c r="AM33" s="708" t="str">
        <f>IFERROR('2. Roles &amp; Pricing'!AO187/40,"")</f>
        <v/>
      </c>
      <c r="AN33" s="708" t="str">
        <f>IFERROR('2. Roles &amp; Pricing'!AP187/40,"")</f>
        <v/>
      </c>
      <c r="AO33" s="708" t="str">
        <f>IFERROR('2. Roles &amp; Pricing'!AQ187/40,"")</f>
        <v/>
      </c>
      <c r="AP33" s="708" t="str">
        <f>IFERROR('2. Roles &amp; Pricing'!AR187/40,"")</f>
        <v/>
      </c>
      <c r="AQ33" s="708" t="str">
        <f>IFERROR('2. Roles &amp; Pricing'!AS187/40,"")</f>
        <v/>
      </c>
      <c r="AR33" s="708" t="str">
        <f>IFERROR('2. Roles &amp; Pricing'!AT187/40,"")</f>
        <v/>
      </c>
      <c r="AS33" s="708" t="str">
        <f>IFERROR('2. Roles &amp; Pricing'!AU187/40,"")</f>
        <v/>
      </c>
      <c r="AT33" s="708" t="str">
        <f>IFERROR('2. Roles &amp; Pricing'!AV187/40,"")</f>
        <v/>
      </c>
      <c r="AU33" s="708" t="str">
        <f>IFERROR('2. Roles &amp; Pricing'!AW187/40,"")</f>
        <v/>
      </c>
      <c r="AV33" s="708" t="str">
        <f>IFERROR('2. Roles &amp; Pricing'!AX187/40,"")</f>
        <v/>
      </c>
      <c r="AW33" s="708" t="str">
        <f>IFERROR('2. Roles &amp; Pricing'!AY187/40,"")</f>
        <v/>
      </c>
      <c r="AX33" s="708" t="str">
        <f>IFERROR('2. Roles &amp; Pricing'!AZ187/40,"")</f>
        <v/>
      </c>
      <c r="AY33" s="708" t="str">
        <f>IFERROR('2. Roles &amp; Pricing'!BA187/40,"")</f>
        <v/>
      </c>
      <c r="AZ33" s="708" t="str">
        <f>IFERROR('2. Roles &amp; Pricing'!BB187/40,"")</f>
        <v/>
      </c>
      <c r="BA33" s="708" t="str">
        <f>IFERROR('2. Roles &amp; Pricing'!BC187/40,"")</f>
        <v/>
      </c>
      <c r="BB33" s="708" t="str">
        <f>IFERROR('2. Roles &amp; Pricing'!BD187/40,"")</f>
        <v/>
      </c>
      <c r="BC33" s="708" t="str">
        <f>IFERROR('2. Roles &amp; Pricing'!BE187/40,"")</f>
        <v/>
      </c>
      <c r="BD33" s="708" t="str">
        <f>IFERROR('2. Roles &amp; Pricing'!BF187/40,"")</f>
        <v/>
      </c>
      <c r="BE33" s="708" t="str">
        <f>IFERROR('2. Roles &amp; Pricing'!BG187/40,"")</f>
        <v/>
      </c>
      <c r="BF33" s="708" t="str">
        <f>IFERROR('2. Roles &amp; Pricing'!BH187/40,"")</f>
        <v/>
      </c>
      <c r="BG33" s="708" t="str">
        <f>IFERROR('2. Roles &amp; Pricing'!BI187/40,"")</f>
        <v/>
      </c>
      <c r="BH33" s="708" t="str">
        <f>IFERROR('2. Roles &amp; Pricing'!BJ187/40,"")</f>
        <v/>
      </c>
      <c r="BI33" s="708" t="str">
        <f>IFERROR('2. Roles &amp; Pricing'!BK187/40,"")</f>
        <v/>
      </c>
      <c r="BJ33" s="708" t="str">
        <f>IFERROR('2. Roles &amp; Pricing'!BL187/40,"")</f>
        <v/>
      </c>
      <c r="BK33" s="708" t="str">
        <f>IFERROR('2. Roles &amp; Pricing'!BM187/40,"")</f>
        <v/>
      </c>
      <c r="BL33" s="708" t="str">
        <f>IFERROR('2. Roles &amp; Pricing'!BN187/40,"")</f>
        <v/>
      </c>
      <c r="BM33" s="708" t="str">
        <f>IFERROR('2. Roles &amp; Pricing'!BO187/40,"")</f>
        <v/>
      </c>
      <c r="BN33" s="223">
        <f t="shared" si="49"/>
        <v>0</v>
      </c>
      <c r="BO33" s="224">
        <f t="shared" si="50"/>
        <v>0</v>
      </c>
      <c r="BP33" s="199" t="str">
        <f>'2. Roles &amp; Pricing'!D308</f>
        <v/>
      </c>
      <c r="BQ33" s="199">
        <f>'2. Roles &amp; Pricing'!F308</f>
        <v>0</v>
      </c>
      <c r="BR33" s="623">
        <f>'2. Roles &amp; Pricing'!F308</f>
        <v>0</v>
      </c>
      <c r="BS33" s="200">
        <f>'2. Roles &amp; Pricing'!I308</f>
        <v>0</v>
      </c>
      <c r="BT33" s="201" t="str">
        <f t="shared" si="51"/>
        <v/>
      </c>
      <c r="BU33" s="225">
        <f t="shared" si="48"/>
        <v>0</v>
      </c>
      <c r="BV33" s="245"/>
      <c r="BW33" s="1773"/>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2"/>
      <c r="B34" s="1783"/>
      <c r="C34" s="1783"/>
      <c r="D34" s="1783"/>
      <c r="E34" s="1783"/>
      <c r="F34" s="1783"/>
      <c r="G34" s="1783"/>
      <c r="H34" s="1783"/>
      <c r="I34" s="1784"/>
      <c r="J34" s="246"/>
      <c r="K34" s="247"/>
      <c r="L34" s="248"/>
      <c r="M34" s="248"/>
      <c r="N34" s="707" t="str">
        <f>IFERROR('2. Roles &amp; Pricing'!F188/40,"")</f>
        <v/>
      </c>
      <c r="O34" s="707" t="str">
        <f>IFERROR('2. Roles &amp; Pricing'!I188/40,"")</f>
        <v/>
      </c>
      <c r="P34" s="707" t="str">
        <f>IFERROR('2. Roles &amp; Pricing'!K188/40,"")</f>
        <v/>
      </c>
      <c r="Q34" s="707" t="str">
        <f>IFERROR('2. Roles &amp; Pricing'!L188/40,"")</f>
        <v/>
      </c>
      <c r="R34" s="707" t="str">
        <f>IFERROR('2. Roles &amp; Pricing'!M188/40,"")</f>
        <v/>
      </c>
      <c r="S34" s="707" t="str">
        <f>IFERROR('2. Roles &amp; Pricing'!N188/40,"")</f>
        <v/>
      </c>
      <c r="T34" s="707" t="str">
        <f>IFERROR('2. Roles &amp; Pricing'!O188/40,"")</f>
        <v/>
      </c>
      <c r="U34" s="709" t="str">
        <f>IFERROR('2. Roles &amp; Pricing'!P188/40,"")</f>
        <v/>
      </c>
      <c r="V34" s="709" t="str">
        <f>IFERROR('2. Roles &amp; Pricing'!Q188/40,"")</f>
        <v/>
      </c>
      <c r="W34" s="709" t="str">
        <f>IFERROR('2. Roles &amp; Pricing'!R188/40,"")</f>
        <v/>
      </c>
      <c r="X34" s="708" t="str">
        <f>IFERROR('2. Roles &amp; Pricing'!S188/40,"")</f>
        <v/>
      </c>
      <c r="Y34" s="708" t="str">
        <f>IFERROR('2. Roles &amp; Pricing'!T188/40,"")</f>
        <v/>
      </c>
      <c r="Z34" s="708" t="str">
        <f>IFERROR('2. Roles &amp; Pricing'!U188/40,"")</f>
        <v/>
      </c>
      <c r="AA34" s="708" t="str">
        <f>IFERROR('2. Roles &amp; Pricing'!Y188/40,"")</f>
        <v/>
      </c>
      <c r="AB34" s="708" t="str">
        <f>IFERROR('2. Roles &amp; Pricing'!Z188/40,"")</f>
        <v/>
      </c>
      <c r="AC34" s="708" t="str">
        <f>IFERROR('2. Roles &amp; Pricing'!AA188/40,"")</f>
        <v/>
      </c>
      <c r="AD34" s="708" t="str">
        <f>IFERROR('2. Roles &amp; Pricing'!AB188/40,"")</f>
        <v/>
      </c>
      <c r="AE34" s="708" t="str">
        <f>IFERROR('2. Roles &amp; Pricing'!AG188/40,"")</f>
        <v/>
      </c>
      <c r="AF34" s="708" t="str">
        <f>IFERROR('2. Roles &amp; Pricing'!AH188/40,"")</f>
        <v/>
      </c>
      <c r="AG34" s="708" t="str">
        <f>IFERROR('2. Roles &amp; Pricing'!AI188/40,"")</f>
        <v/>
      </c>
      <c r="AH34" s="708" t="str">
        <f>IFERROR('2. Roles &amp; Pricing'!AJ188/40,"")</f>
        <v/>
      </c>
      <c r="AI34" s="708" t="str">
        <f>IFERROR('2. Roles &amp; Pricing'!AK188/40,"")</f>
        <v/>
      </c>
      <c r="AJ34" s="708" t="str">
        <f>IFERROR('2. Roles &amp; Pricing'!AL188/40,"")</f>
        <v/>
      </c>
      <c r="AK34" s="708" t="str">
        <f>IFERROR('2. Roles &amp; Pricing'!AM188/40,"")</f>
        <v/>
      </c>
      <c r="AL34" s="708" t="str">
        <f>IFERROR('2. Roles &amp; Pricing'!AN188/40,"")</f>
        <v/>
      </c>
      <c r="AM34" s="708" t="str">
        <f>IFERROR('2. Roles &amp; Pricing'!AO188/40,"")</f>
        <v/>
      </c>
      <c r="AN34" s="708" t="str">
        <f>IFERROR('2. Roles &amp; Pricing'!AP188/40,"")</f>
        <v/>
      </c>
      <c r="AO34" s="708" t="str">
        <f>IFERROR('2. Roles &amp; Pricing'!AQ188/40,"")</f>
        <v/>
      </c>
      <c r="AP34" s="708" t="str">
        <f>IFERROR('2. Roles &amp; Pricing'!AR188/40,"")</f>
        <v/>
      </c>
      <c r="AQ34" s="708" t="str">
        <f>IFERROR('2. Roles &amp; Pricing'!AS188/40,"")</f>
        <v/>
      </c>
      <c r="AR34" s="708" t="str">
        <f>IFERROR('2. Roles &amp; Pricing'!AT188/40,"")</f>
        <v/>
      </c>
      <c r="AS34" s="708" t="str">
        <f>IFERROR('2. Roles &amp; Pricing'!AU188/40,"")</f>
        <v/>
      </c>
      <c r="AT34" s="708" t="str">
        <f>IFERROR('2. Roles &amp; Pricing'!AV188/40,"")</f>
        <v/>
      </c>
      <c r="AU34" s="708" t="str">
        <f>IFERROR('2. Roles &amp; Pricing'!AW188/40,"")</f>
        <v/>
      </c>
      <c r="AV34" s="708" t="str">
        <f>IFERROR('2. Roles &amp; Pricing'!AX188/40,"")</f>
        <v/>
      </c>
      <c r="AW34" s="708" t="str">
        <f>IFERROR('2. Roles &amp; Pricing'!AY188/40,"")</f>
        <v/>
      </c>
      <c r="AX34" s="708" t="str">
        <f>IFERROR('2. Roles &amp; Pricing'!AZ188/40,"")</f>
        <v/>
      </c>
      <c r="AY34" s="708" t="str">
        <f>IFERROR('2. Roles &amp; Pricing'!BA188/40,"")</f>
        <v/>
      </c>
      <c r="AZ34" s="708" t="str">
        <f>IFERROR('2. Roles &amp; Pricing'!BB188/40,"")</f>
        <v/>
      </c>
      <c r="BA34" s="708" t="str">
        <f>IFERROR('2. Roles &amp; Pricing'!BC188/40,"")</f>
        <v/>
      </c>
      <c r="BB34" s="708" t="str">
        <f>IFERROR('2. Roles &amp; Pricing'!BD188/40,"")</f>
        <v/>
      </c>
      <c r="BC34" s="708" t="str">
        <f>IFERROR('2. Roles &amp; Pricing'!BE188/40,"")</f>
        <v/>
      </c>
      <c r="BD34" s="708" t="str">
        <f>IFERROR('2. Roles &amp; Pricing'!BF188/40,"")</f>
        <v/>
      </c>
      <c r="BE34" s="708" t="str">
        <f>IFERROR('2. Roles &amp; Pricing'!BG188/40,"")</f>
        <v/>
      </c>
      <c r="BF34" s="708" t="str">
        <f>IFERROR('2. Roles &amp; Pricing'!BH188/40,"")</f>
        <v/>
      </c>
      <c r="BG34" s="708" t="str">
        <f>IFERROR('2. Roles &amp; Pricing'!BI188/40,"")</f>
        <v/>
      </c>
      <c r="BH34" s="708" t="str">
        <f>IFERROR('2. Roles &amp; Pricing'!BJ188/40,"")</f>
        <v/>
      </c>
      <c r="BI34" s="708" t="str">
        <f>IFERROR('2. Roles &amp; Pricing'!BK188/40,"")</f>
        <v/>
      </c>
      <c r="BJ34" s="708" t="str">
        <f>IFERROR('2. Roles &amp; Pricing'!BL188/40,"")</f>
        <v/>
      </c>
      <c r="BK34" s="708" t="str">
        <f>IFERROR('2. Roles &amp; Pricing'!BM188/40,"")</f>
        <v/>
      </c>
      <c r="BL34" s="708" t="str">
        <f>IFERROR('2. Roles &amp; Pricing'!BN188/40,"")</f>
        <v/>
      </c>
      <c r="BM34" s="708" t="str">
        <f>IFERROR('2. Roles &amp; Pricing'!BO188/40,"")</f>
        <v/>
      </c>
      <c r="BN34" s="249">
        <f>SUM(BN16:BN33)</f>
        <v>213</v>
      </c>
      <c r="BO34" s="250">
        <f>SUM(BO16:BO33)</f>
        <v>1065</v>
      </c>
      <c r="BP34" s="251">
        <f>SUM(BP16:BP33)</f>
        <v>834000</v>
      </c>
      <c r="BQ34" s="199">
        <f>'2. Roles &amp; Pricing'!F309</f>
        <v>0</v>
      </c>
      <c r="BR34" s="252"/>
      <c r="BS34" s="253"/>
      <c r="BT34" s="254">
        <f>SUM(BT16:BT33)</f>
        <v>834000</v>
      </c>
      <c r="BU34" s="255">
        <f>SUM(BU16:BU33)</f>
        <v>8520</v>
      </c>
    </row>
    <row r="35" spans="1:94" s="204" customFormat="1" ht="14.5" thickBot="1" x14ac:dyDescent="0.4">
      <c r="A35" s="1782"/>
      <c r="B35" s="1783"/>
      <c r="C35" s="1783"/>
      <c r="D35" s="1783"/>
      <c r="E35" s="1783"/>
      <c r="F35" s="1783"/>
      <c r="G35" s="1783"/>
      <c r="H35" s="1783"/>
      <c r="I35" s="1784"/>
      <c r="J35" s="256" t="s">
        <v>178</v>
      </c>
      <c r="K35" s="257"/>
      <c r="L35" s="258"/>
      <c r="M35" s="258"/>
      <c r="N35" s="707" t="str">
        <f>IFERROR('2. Roles &amp; Pricing'!F189/40,"")</f>
        <v/>
      </c>
      <c r="O35" s="707" t="str">
        <f>IFERROR('2. Roles &amp; Pricing'!I189/40,"")</f>
        <v/>
      </c>
      <c r="P35" s="707" t="str">
        <f>IFERROR('2. Roles &amp; Pricing'!K189/40,"")</f>
        <v/>
      </c>
      <c r="Q35" s="707" t="str">
        <f>IFERROR('2. Roles &amp; Pricing'!L189/40,"")</f>
        <v/>
      </c>
      <c r="R35" s="707" t="str">
        <f>IFERROR('2. Roles &amp; Pricing'!M189/40,"")</f>
        <v/>
      </c>
      <c r="S35" s="707" t="str">
        <f>IFERROR('2. Roles &amp; Pricing'!N189/40,"")</f>
        <v/>
      </c>
      <c r="T35" s="707" t="str">
        <f>IFERROR('2. Roles &amp; Pricing'!O189/40,"")</f>
        <v/>
      </c>
      <c r="U35" s="709" t="str">
        <f>IFERROR('2. Roles &amp; Pricing'!P189/40,"")</f>
        <v/>
      </c>
      <c r="V35" s="709" t="str">
        <f>IFERROR('2. Roles &amp; Pricing'!Q189/40,"")</f>
        <v/>
      </c>
      <c r="W35" s="709" t="str">
        <f>IFERROR('2. Roles &amp; Pricing'!R189/40,"")</f>
        <v/>
      </c>
      <c r="X35" s="708" t="str">
        <f>IFERROR('2. Roles &amp; Pricing'!S189/40,"")</f>
        <v/>
      </c>
      <c r="Y35" s="708" t="str">
        <f>IFERROR('2. Roles &amp; Pricing'!T189/40,"")</f>
        <v/>
      </c>
      <c r="Z35" s="708" t="str">
        <f>IFERROR('2. Roles &amp; Pricing'!U189/40,"")</f>
        <v/>
      </c>
      <c r="AA35" s="708" t="str">
        <f>IFERROR('2. Roles &amp; Pricing'!Y189/40,"")</f>
        <v/>
      </c>
      <c r="AB35" s="708" t="str">
        <f>IFERROR('2. Roles &amp; Pricing'!Z189/40,"")</f>
        <v/>
      </c>
      <c r="AC35" s="708" t="str">
        <f>IFERROR('2. Roles &amp; Pricing'!AA189/40,"")</f>
        <v/>
      </c>
      <c r="AD35" s="708" t="str">
        <f>IFERROR('2. Roles &amp; Pricing'!AB189/40,"")</f>
        <v/>
      </c>
      <c r="AE35" s="708" t="str">
        <f>IFERROR('2. Roles &amp; Pricing'!AG189/40,"")</f>
        <v/>
      </c>
      <c r="AF35" s="708" t="str">
        <f>IFERROR('2. Roles &amp; Pricing'!AH189/40,"")</f>
        <v/>
      </c>
      <c r="AG35" s="708" t="str">
        <f>IFERROR('2. Roles &amp; Pricing'!AI189/40,"")</f>
        <v/>
      </c>
      <c r="AH35" s="708" t="str">
        <f>IFERROR('2. Roles &amp; Pricing'!AJ189/40,"")</f>
        <v/>
      </c>
      <c r="AI35" s="708" t="str">
        <f>IFERROR('2. Roles &amp; Pricing'!AK189/40,"")</f>
        <v/>
      </c>
      <c r="AJ35" s="708" t="str">
        <f>IFERROR('2. Roles &amp; Pricing'!AL189/40,"")</f>
        <v/>
      </c>
      <c r="AK35" s="708" t="str">
        <f>IFERROR('2. Roles &amp; Pricing'!AM189/40,"")</f>
        <v/>
      </c>
      <c r="AL35" s="708" t="str">
        <f>IFERROR('2. Roles &amp; Pricing'!AN189/40,"")</f>
        <v/>
      </c>
      <c r="AM35" s="708" t="str">
        <f>IFERROR('2. Roles &amp; Pricing'!AO189/40,"")</f>
        <v/>
      </c>
      <c r="AN35" s="708" t="str">
        <f>IFERROR('2. Roles &amp; Pricing'!AP189/40,"")</f>
        <v/>
      </c>
      <c r="AO35" s="708" t="str">
        <f>IFERROR('2. Roles &amp; Pricing'!AQ189/40,"")</f>
        <v/>
      </c>
      <c r="AP35" s="708" t="str">
        <f>IFERROR('2. Roles &amp; Pricing'!AR189/40,"")</f>
        <v/>
      </c>
      <c r="AQ35" s="708" t="str">
        <f>IFERROR('2. Roles &amp; Pricing'!AS189/40,"")</f>
        <v/>
      </c>
      <c r="AR35" s="708" t="str">
        <f>IFERROR('2. Roles &amp; Pricing'!AT189/40,"")</f>
        <v/>
      </c>
      <c r="AS35" s="708" t="str">
        <f>IFERROR('2. Roles &amp; Pricing'!AU189/40,"")</f>
        <v/>
      </c>
      <c r="AT35" s="708" t="str">
        <f>IFERROR('2. Roles &amp; Pricing'!AV189/40,"")</f>
        <v/>
      </c>
      <c r="AU35" s="708" t="str">
        <f>IFERROR('2. Roles &amp; Pricing'!AW189/40,"")</f>
        <v/>
      </c>
      <c r="AV35" s="708" t="str">
        <f>IFERROR('2. Roles &amp; Pricing'!AX189/40,"")</f>
        <v/>
      </c>
      <c r="AW35" s="708" t="str">
        <f>IFERROR('2. Roles &amp; Pricing'!AY189/40,"")</f>
        <v/>
      </c>
      <c r="AX35" s="708" t="str">
        <f>IFERROR('2. Roles &amp; Pricing'!AZ189/40,"")</f>
        <v/>
      </c>
      <c r="AY35" s="708" t="str">
        <f>IFERROR('2. Roles &amp; Pricing'!BA189/40,"")</f>
        <v/>
      </c>
      <c r="AZ35" s="708" t="str">
        <f>IFERROR('2. Roles &amp; Pricing'!BB189/40,"")</f>
        <v/>
      </c>
      <c r="BA35" s="708" t="str">
        <f>IFERROR('2. Roles &amp; Pricing'!BC189/40,"")</f>
        <v/>
      </c>
      <c r="BB35" s="708" t="str">
        <f>IFERROR('2. Roles &amp; Pricing'!BD189/40,"")</f>
        <v/>
      </c>
      <c r="BC35" s="708" t="str">
        <f>IFERROR('2. Roles &amp; Pricing'!BE189/40,"")</f>
        <v/>
      </c>
      <c r="BD35" s="708" t="str">
        <f>IFERROR('2. Roles &amp; Pricing'!BF189/40,"")</f>
        <v/>
      </c>
      <c r="BE35" s="708" t="str">
        <f>IFERROR('2. Roles &amp; Pricing'!BG189/40,"")</f>
        <v/>
      </c>
      <c r="BF35" s="708" t="str">
        <f>IFERROR('2. Roles &amp; Pricing'!BH189/40,"")</f>
        <v/>
      </c>
      <c r="BG35" s="708" t="str">
        <f>IFERROR('2. Roles &amp; Pricing'!BI189/40,"")</f>
        <v/>
      </c>
      <c r="BH35" s="708" t="str">
        <f>IFERROR('2. Roles &amp; Pricing'!BJ189/40,"")</f>
        <v/>
      </c>
      <c r="BI35" s="708" t="str">
        <f>IFERROR('2. Roles &amp; Pricing'!BK189/40,"")</f>
        <v/>
      </c>
      <c r="BJ35" s="708" t="str">
        <f>IFERROR('2. Roles &amp; Pricing'!BL189/40,"")</f>
        <v/>
      </c>
      <c r="BK35" s="708" t="str">
        <f>IFERROR('2. Roles &amp; Pricing'!BM189/40,"")</f>
        <v/>
      </c>
      <c r="BL35" s="708" t="str">
        <f>IFERROR('2. Roles &amp; Pricing'!BN189/40,"")</f>
        <v/>
      </c>
      <c r="BM35" s="708" t="str">
        <f>IFERROR('2. Roles &amp; Pricing'!BO189/40,"")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4" t="s">
        <v>2021</v>
      </c>
      <c r="BO36" s="1775"/>
      <c r="BP36" s="864">
        <v>0</v>
      </c>
      <c r="BR36" s="141"/>
      <c r="BS36" s="146" t="s">
        <v>2022</v>
      </c>
      <c r="BT36" s="1621">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6" t="s">
        <v>2024</v>
      </c>
      <c r="BO37" s="1777"/>
      <c r="BP37" s="272">
        <f>+BP34-BP36</f>
        <v>834000</v>
      </c>
      <c r="BR37" s="141"/>
      <c r="BS37" s="145"/>
      <c r="BT37" s="142"/>
      <c r="BU37" s="142"/>
    </row>
    <row r="38" spans="1:94" s="140" customFormat="1" x14ac:dyDescent="0.3">
      <c r="A38" s="141"/>
      <c r="B38" s="262"/>
      <c r="C38" s="262"/>
      <c r="D38" s="262"/>
      <c r="E38" s="262"/>
      <c r="F38" s="262"/>
      <c r="J38" s="273" t="s">
        <v>180</v>
      </c>
      <c r="K38" s="147"/>
      <c r="N38" s="274">
        <f t="shared" ref="N38:AS38" si="52">SUMPRODUCT(N16:N33,$BS$16:$BS$33)*40</f>
        <v>26780</v>
      </c>
      <c r="O38" s="275">
        <f t="shared" si="52"/>
        <v>26780</v>
      </c>
      <c r="P38" s="276">
        <f t="shared" si="52"/>
        <v>26780</v>
      </c>
      <c r="Q38" s="277">
        <f t="shared" si="52"/>
        <v>26780</v>
      </c>
      <c r="R38" s="278">
        <f t="shared" si="52"/>
        <v>28480</v>
      </c>
      <c r="S38" s="277">
        <f t="shared" si="52"/>
        <v>28480</v>
      </c>
      <c r="T38" s="278">
        <f t="shared" si="52"/>
        <v>28480</v>
      </c>
      <c r="U38" s="277">
        <f t="shared" si="52"/>
        <v>28480</v>
      </c>
      <c r="V38" s="278">
        <f t="shared" si="52"/>
        <v>28480</v>
      </c>
      <c r="W38" s="277">
        <f t="shared" si="52"/>
        <v>28480</v>
      </c>
      <c r="X38" s="278">
        <f t="shared" si="52"/>
        <v>28480</v>
      </c>
      <c r="Y38" s="277">
        <f t="shared" si="52"/>
        <v>28480</v>
      </c>
      <c r="Z38" s="278">
        <f t="shared" si="52"/>
        <v>28480</v>
      </c>
      <c r="AA38" s="277">
        <f t="shared" si="52"/>
        <v>25080</v>
      </c>
      <c r="AB38" s="278">
        <f t="shared" si="52"/>
        <v>25080</v>
      </c>
      <c r="AC38" s="277">
        <f t="shared" si="52"/>
        <v>25080</v>
      </c>
      <c r="AD38" s="278">
        <f t="shared" si="52"/>
        <v>25080</v>
      </c>
      <c r="AE38" s="277">
        <f t="shared" si="52"/>
        <v>28480</v>
      </c>
      <c r="AF38" s="278">
        <f t="shared" si="52"/>
        <v>28480</v>
      </c>
      <c r="AG38" s="277">
        <f t="shared" si="52"/>
        <v>28480</v>
      </c>
      <c r="AH38" s="277">
        <f t="shared" si="52"/>
        <v>28480</v>
      </c>
      <c r="AI38" s="278">
        <f t="shared" si="52"/>
        <v>28480</v>
      </c>
      <c r="AJ38" s="277">
        <f t="shared" si="52"/>
        <v>28480</v>
      </c>
      <c r="AK38" s="278">
        <f t="shared" si="52"/>
        <v>28480</v>
      </c>
      <c r="AL38" s="277">
        <f t="shared" si="52"/>
        <v>28480</v>
      </c>
      <c r="AM38" s="278">
        <f t="shared" si="52"/>
        <v>28480</v>
      </c>
      <c r="AN38" s="277">
        <f t="shared" si="52"/>
        <v>28480</v>
      </c>
      <c r="AO38" s="278">
        <f t="shared" si="52"/>
        <v>28480</v>
      </c>
      <c r="AP38" s="277">
        <f t="shared" si="52"/>
        <v>28480</v>
      </c>
      <c r="AQ38" s="278">
        <f t="shared" si="52"/>
        <v>28480</v>
      </c>
      <c r="AR38" s="277">
        <f t="shared" si="52"/>
        <v>0</v>
      </c>
      <c r="AS38" s="277">
        <f t="shared" si="52"/>
        <v>0</v>
      </c>
      <c r="AT38" s="278">
        <f t="shared" ref="AT38:BM38" si="53">SUMPRODUCT(AT16:AT33,$BS$16:$BS$33)*40</f>
        <v>0</v>
      </c>
      <c r="AU38" s="277">
        <f t="shared" si="53"/>
        <v>0</v>
      </c>
      <c r="AV38" s="278">
        <f t="shared" si="53"/>
        <v>0</v>
      </c>
      <c r="AW38" s="277">
        <f t="shared" si="53"/>
        <v>0</v>
      </c>
      <c r="AX38" s="278">
        <f t="shared" si="53"/>
        <v>0</v>
      </c>
      <c r="AY38" s="277">
        <f t="shared" si="53"/>
        <v>0</v>
      </c>
      <c r="AZ38" s="278">
        <f t="shared" si="53"/>
        <v>0</v>
      </c>
      <c r="BA38" s="277">
        <f t="shared" si="53"/>
        <v>0</v>
      </c>
      <c r="BB38" s="278">
        <f t="shared" si="53"/>
        <v>0</v>
      </c>
      <c r="BC38" s="277">
        <f t="shared" si="53"/>
        <v>0</v>
      </c>
      <c r="BD38" s="278">
        <f t="shared" si="53"/>
        <v>0</v>
      </c>
      <c r="BE38" s="277">
        <f t="shared" si="53"/>
        <v>0</v>
      </c>
      <c r="BF38" s="278">
        <f t="shared" si="53"/>
        <v>0</v>
      </c>
      <c r="BG38" s="277">
        <f t="shared" si="53"/>
        <v>0</v>
      </c>
      <c r="BH38" s="278">
        <f t="shared" si="53"/>
        <v>0</v>
      </c>
      <c r="BI38" s="277">
        <f t="shared" si="53"/>
        <v>0</v>
      </c>
      <c r="BJ38" s="278">
        <f t="shared" si="53"/>
        <v>0</v>
      </c>
      <c r="BK38" s="277">
        <f t="shared" si="53"/>
        <v>0</v>
      </c>
      <c r="BL38" s="278">
        <f t="shared" si="53"/>
        <v>0</v>
      </c>
      <c r="BM38" s="277">
        <f t="shared" si="53"/>
        <v>0</v>
      </c>
      <c r="BN38" s="1778" t="s">
        <v>2025</v>
      </c>
      <c r="BO38" s="1779"/>
      <c r="BP38" s="279">
        <f>+BP37*1.4</f>
        <v>1167600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f>SUM(N38)</f>
        <v>26780</v>
      </c>
      <c r="O39" s="1755">
        <f>SUM(O38:Q38)</f>
        <v>80340</v>
      </c>
      <c r="P39" s="1756"/>
      <c r="Q39" s="1757"/>
      <c r="R39" s="1758">
        <f>SUM(R38:S38)</f>
        <v>56960</v>
      </c>
      <c r="S39" s="1759"/>
      <c r="T39" s="1755">
        <f>SUM(T38:U38)</f>
        <v>56960</v>
      </c>
      <c r="U39" s="1757"/>
      <c r="V39" s="1758">
        <f>SUM(V38:AS38)</f>
        <v>612960</v>
      </c>
      <c r="W39" s="1760"/>
      <c r="X39" s="1760"/>
      <c r="Y39" s="1760"/>
      <c r="Z39" s="1760"/>
      <c r="AA39" s="1760"/>
      <c r="AB39" s="1760"/>
      <c r="AC39" s="1760"/>
      <c r="AD39" s="1760"/>
      <c r="AE39" s="1760"/>
      <c r="AF39" s="1760"/>
      <c r="AG39" s="1760"/>
      <c r="AH39" s="1760"/>
      <c r="AI39" s="1760"/>
      <c r="AJ39" s="1760"/>
      <c r="AK39" s="1760"/>
      <c r="AL39" s="1760"/>
      <c r="AM39" s="1760"/>
      <c r="AN39" s="1760"/>
      <c r="AO39" s="1760"/>
      <c r="AP39" s="1760"/>
      <c r="AQ39" s="1760"/>
      <c r="AR39" s="1760"/>
      <c r="AS39" s="1759"/>
      <c r="AT39" s="1755">
        <f>SUM(AT38:AU38)</f>
        <v>0</v>
      </c>
      <c r="AU39" s="1757"/>
      <c r="AV39" s="1758">
        <f>SUM(AV38:AW38)</f>
        <v>0</v>
      </c>
      <c r="AW39" s="1759"/>
      <c r="AX39" s="1755">
        <f>SUM(AX38:AY38)</f>
        <v>0</v>
      </c>
      <c r="AY39" s="1757"/>
      <c r="AZ39" s="1758">
        <f>SUM(AZ38:BA38)</f>
        <v>0</v>
      </c>
      <c r="BA39" s="1759"/>
      <c r="BB39" s="1755">
        <f>SUM(BB38:BC38)</f>
        <v>0</v>
      </c>
      <c r="BC39" s="1757"/>
      <c r="BD39" s="1755">
        <f>SUM(BD38:BE38)</f>
        <v>0</v>
      </c>
      <c r="BE39" s="1757"/>
      <c r="BF39" s="1758">
        <f>SUM(BF38:BG38)</f>
        <v>0</v>
      </c>
      <c r="BG39" s="1759"/>
      <c r="BH39" s="1755">
        <f>SUM(BH38:BI38)</f>
        <v>0</v>
      </c>
      <c r="BI39" s="1757"/>
      <c r="BJ39" s="1758">
        <f>SUM(BJ38:BK38)</f>
        <v>0</v>
      </c>
      <c r="BK39" s="1759"/>
      <c r="BL39" s="1755">
        <f>SUM(BL38:BM38)</f>
        <v>0</v>
      </c>
      <c r="BM39" s="1757"/>
      <c r="BN39" s="1780" t="s">
        <v>2030</v>
      </c>
      <c r="BO39" s="1781"/>
      <c r="BP39" s="283">
        <f>+BP37*1.2</f>
        <v>1000800</v>
      </c>
      <c r="BR39" s="141"/>
      <c r="BS39" s="284" t="s">
        <v>2031</v>
      </c>
      <c r="BT39" s="285">
        <f>BP37-BP36</f>
        <v>834000</v>
      </c>
      <c r="BU39" s="286">
        <f>(BT39-BQ34)/BT39</f>
        <v>1</v>
      </c>
      <c r="BV39" s="285">
        <f>BT39/BU34</f>
        <v>97.887323943661968</v>
      </c>
    </row>
    <row r="40" spans="1:94" s="140" customFormat="1" ht="14.5" thickBot="1" x14ac:dyDescent="0.35">
      <c r="A40" s="141"/>
      <c r="B40" s="262"/>
      <c r="C40" s="262"/>
      <c r="D40" s="262"/>
      <c r="E40" s="262"/>
      <c r="F40" s="262"/>
      <c r="J40" s="287" t="s">
        <v>2032</v>
      </c>
      <c r="K40" s="147"/>
      <c r="N40" s="1768">
        <f>SUM(N38:Q38)</f>
        <v>107120</v>
      </c>
      <c r="O40" s="1769"/>
      <c r="P40" s="1769"/>
      <c r="Q40" s="1769"/>
      <c r="R40" s="1770">
        <f>SUM(R38:U38)</f>
        <v>113920</v>
      </c>
      <c r="S40" s="1771"/>
      <c r="T40" s="1771"/>
      <c r="U40" s="1771"/>
      <c r="V40" s="1768">
        <f>SUM(V38:BE38)</f>
        <v>612960</v>
      </c>
      <c r="W40" s="1769"/>
      <c r="X40" s="1769"/>
      <c r="Y40" s="1769"/>
      <c r="Z40" s="1769"/>
      <c r="AA40" s="1769"/>
      <c r="AB40" s="1769"/>
      <c r="AC40" s="1769"/>
      <c r="AD40" s="1769"/>
      <c r="AE40" s="1769"/>
      <c r="AF40" s="1769"/>
      <c r="AG40" s="1769"/>
      <c r="AH40" s="1769"/>
      <c r="AI40" s="1769"/>
      <c r="AJ40" s="1769"/>
      <c r="AK40" s="1769"/>
      <c r="AL40" s="1769"/>
      <c r="AM40" s="1769"/>
      <c r="AN40" s="1769"/>
      <c r="AO40" s="1769"/>
      <c r="AP40" s="1769"/>
      <c r="AQ40" s="1769"/>
      <c r="AR40" s="1769"/>
      <c r="AS40" s="1769"/>
      <c r="AT40" s="1769"/>
      <c r="AU40" s="1769"/>
      <c r="AV40" s="1769"/>
      <c r="AW40" s="1769"/>
      <c r="AX40" s="1769"/>
      <c r="AY40" s="1769"/>
      <c r="AZ40" s="1769"/>
      <c r="BA40" s="1769"/>
      <c r="BB40" s="1769"/>
      <c r="BC40" s="1769"/>
      <c r="BD40" s="1769"/>
      <c r="BE40" s="1769"/>
      <c r="BF40" s="1770">
        <f>SUM(BF38:BI38)</f>
        <v>0</v>
      </c>
      <c r="BG40" s="1771"/>
      <c r="BH40" s="1771"/>
      <c r="BI40" s="1771"/>
      <c r="BJ40" s="1768">
        <f>SUM(BJ38:BM38)</f>
        <v>0</v>
      </c>
      <c r="BK40" s="1769"/>
      <c r="BL40" s="1769"/>
      <c r="BM40" s="1769"/>
      <c r="BN40" s="1764" t="s">
        <v>2033</v>
      </c>
      <c r="BO40" s="1765"/>
      <c r="BP40" s="288">
        <f>+BP37*1.3</f>
        <v>1084200</v>
      </c>
      <c r="BR40" s="141"/>
      <c r="BS40" s="289" t="s">
        <v>2034</v>
      </c>
      <c r="BT40" s="290">
        <f>BT34-BT36</f>
        <v>834000</v>
      </c>
      <c r="BU40" s="291">
        <f>(BT40-BQ34)/BT40</f>
        <v>1</v>
      </c>
      <c r="BV40" s="290">
        <f>BT40/BU34</f>
        <v>97.887323943661968</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6" t="s">
        <v>2038</v>
      </c>
      <c r="BO42" s="1767"/>
      <c r="BP42" s="293">
        <f>BT34</f>
        <v>834000</v>
      </c>
      <c r="BQ42" s="294" t="s">
        <v>2039</v>
      </c>
      <c r="BR42" s="141"/>
    </row>
    <row r="43" spans="1:94" x14ac:dyDescent="0.3">
      <c r="J43" s="273" t="s">
        <v>180</v>
      </c>
      <c r="N43" s="274">
        <f t="shared" ref="N43:AS43" si="54">SUMPRODUCT(N16:N33,$BS$16:$BS$33)*40*1.2</f>
        <v>32136</v>
      </c>
      <c r="O43" s="278">
        <f t="shared" si="54"/>
        <v>32136</v>
      </c>
      <c r="P43" s="276">
        <f t="shared" si="54"/>
        <v>32136</v>
      </c>
      <c r="Q43" s="277">
        <f t="shared" si="54"/>
        <v>32136</v>
      </c>
      <c r="R43" s="278">
        <f t="shared" si="54"/>
        <v>34176</v>
      </c>
      <c r="S43" s="277">
        <f t="shared" si="54"/>
        <v>34176</v>
      </c>
      <c r="T43" s="278">
        <f t="shared" si="54"/>
        <v>34176</v>
      </c>
      <c r="U43" s="277">
        <f t="shared" si="54"/>
        <v>34176</v>
      </c>
      <c r="V43" s="278">
        <f t="shared" si="54"/>
        <v>34176</v>
      </c>
      <c r="W43" s="277">
        <f t="shared" si="54"/>
        <v>34176</v>
      </c>
      <c r="X43" s="278">
        <f t="shared" si="54"/>
        <v>34176</v>
      </c>
      <c r="Y43" s="277">
        <f t="shared" si="54"/>
        <v>34176</v>
      </c>
      <c r="Z43" s="278">
        <f t="shared" si="54"/>
        <v>34176</v>
      </c>
      <c r="AA43" s="277">
        <f t="shared" si="54"/>
        <v>30096</v>
      </c>
      <c r="AB43" s="278">
        <f t="shared" si="54"/>
        <v>30096</v>
      </c>
      <c r="AC43" s="277">
        <f t="shared" si="54"/>
        <v>30096</v>
      </c>
      <c r="AD43" s="278">
        <f t="shared" si="54"/>
        <v>30096</v>
      </c>
      <c r="AE43" s="277">
        <f t="shared" si="54"/>
        <v>34176</v>
      </c>
      <c r="AF43" s="278">
        <f t="shared" si="54"/>
        <v>34176</v>
      </c>
      <c r="AG43" s="277">
        <f t="shared" si="54"/>
        <v>34176</v>
      </c>
      <c r="AH43" s="277">
        <f t="shared" si="54"/>
        <v>34176</v>
      </c>
      <c r="AI43" s="278">
        <f t="shared" si="54"/>
        <v>34176</v>
      </c>
      <c r="AJ43" s="277">
        <f t="shared" si="54"/>
        <v>34176</v>
      </c>
      <c r="AK43" s="278">
        <f t="shared" si="54"/>
        <v>34176</v>
      </c>
      <c r="AL43" s="277">
        <f t="shared" si="54"/>
        <v>34176</v>
      </c>
      <c r="AM43" s="278">
        <f t="shared" si="54"/>
        <v>34176</v>
      </c>
      <c r="AN43" s="277">
        <f t="shared" si="54"/>
        <v>34176</v>
      </c>
      <c r="AO43" s="278">
        <f t="shared" si="54"/>
        <v>34176</v>
      </c>
      <c r="AP43" s="277">
        <f t="shared" si="54"/>
        <v>34176</v>
      </c>
      <c r="AQ43" s="278">
        <f t="shared" si="54"/>
        <v>34176</v>
      </c>
      <c r="AR43" s="277">
        <f t="shared" si="54"/>
        <v>0</v>
      </c>
      <c r="AS43" s="277">
        <f t="shared" si="54"/>
        <v>0</v>
      </c>
      <c r="AT43" s="278">
        <f t="shared" ref="AT43:BM43" si="55">SUMPRODUCT(AT16:AT33,$BS$16:$BS$33)*40*1.2</f>
        <v>0</v>
      </c>
      <c r="AU43" s="277">
        <f t="shared" si="55"/>
        <v>0</v>
      </c>
      <c r="AV43" s="278">
        <f t="shared" si="55"/>
        <v>0</v>
      </c>
      <c r="AW43" s="277">
        <f t="shared" si="55"/>
        <v>0</v>
      </c>
      <c r="AX43" s="278">
        <f t="shared" si="55"/>
        <v>0</v>
      </c>
      <c r="AY43" s="277">
        <f t="shared" si="55"/>
        <v>0</v>
      </c>
      <c r="AZ43" s="278">
        <f t="shared" si="55"/>
        <v>0</v>
      </c>
      <c r="BA43" s="277">
        <f t="shared" si="55"/>
        <v>0</v>
      </c>
      <c r="BB43" s="278">
        <f t="shared" si="55"/>
        <v>0</v>
      </c>
      <c r="BC43" s="277">
        <f t="shared" si="55"/>
        <v>0</v>
      </c>
      <c r="BD43" s="278">
        <f t="shared" si="55"/>
        <v>0</v>
      </c>
      <c r="BE43" s="277">
        <f t="shared" si="55"/>
        <v>0</v>
      </c>
      <c r="BF43" s="278">
        <f t="shared" si="55"/>
        <v>0</v>
      </c>
      <c r="BG43" s="277">
        <f t="shared" si="55"/>
        <v>0</v>
      </c>
      <c r="BH43" s="278">
        <f t="shared" si="55"/>
        <v>0</v>
      </c>
      <c r="BI43" s="277">
        <f t="shared" si="55"/>
        <v>0</v>
      </c>
      <c r="BJ43" s="278">
        <f t="shared" si="55"/>
        <v>0</v>
      </c>
      <c r="BK43" s="277">
        <f t="shared" si="55"/>
        <v>0</v>
      </c>
      <c r="BL43" s="278">
        <f t="shared" si="55"/>
        <v>0</v>
      </c>
      <c r="BM43" s="277">
        <f t="shared" si="55"/>
        <v>0</v>
      </c>
      <c r="BN43" s="1749" t="s">
        <v>2040</v>
      </c>
      <c r="BO43" s="1750"/>
      <c r="BP43" s="295"/>
      <c r="BT43" s="281" t="s">
        <v>2041</v>
      </c>
      <c r="BU43" s="281" t="s">
        <v>2042</v>
      </c>
      <c r="BV43" s="281" t="s">
        <v>2028</v>
      </c>
      <c r="BW43" s="296" t="s">
        <v>2043</v>
      </c>
    </row>
    <row r="44" spans="1:94" ht="14.5" thickBot="1" x14ac:dyDescent="0.35">
      <c r="J44" s="273" t="s">
        <v>2029</v>
      </c>
      <c r="N44" s="282">
        <f>SUM(N43)</f>
        <v>32136</v>
      </c>
      <c r="O44" s="1755">
        <f>SUM(O43:Q43)</f>
        <v>96408</v>
      </c>
      <c r="P44" s="1756"/>
      <c r="Q44" s="1757"/>
      <c r="R44" s="1758">
        <f>SUM(R43:S43)</f>
        <v>68352</v>
      </c>
      <c r="S44" s="1759"/>
      <c r="T44" s="1755">
        <f>SUM(T43:U43)</f>
        <v>68352</v>
      </c>
      <c r="U44" s="1757"/>
      <c r="V44" s="1758">
        <f>SUM(V43:AS43)</f>
        <v>735552</v>
      </c>
      <c r="W44" s="1760"/>
      <c r="X44" s="1760"/>
      <c r="Y44" s="1760"/>
      <c r="Z44" s="1760"/>
      <c r="AA44" s="1760"/>
      <c r="AB44" s="1760"/>
      <c r="AC44" s="1760"/>
      <c r="AD44" s="1760"/>
      <c r="AE44" s="1760"/>
      <c r="AF44" s="1760"/>
      <c r="AG44" s="1760"/>
      <c r="AH44" s="1760"/>
      <c r="AI44" s="1760"/>
      <c r="AJ44" s="1760"/>
      <c r="AK44" s="1760"/>
      <c r="AL44" s="1760"/>
      <c r="AM44" s="1760"/>
      <c r="AN44" s="1760"/>
      <c r="AO44" s="1760"/>
      <c r="AP44" s="1760"/>
      <c r="AQ44" s="1760"/>
      <c r="AR44" s="1760"/>
      <c r="AS44" s="1759"/>
      <c r="AT44" s="1755">
        <f>SUM(AT43:AU43)</f>
        <v>0</v>
      </c>
      <c r="AU44" s="1757"/>
      <c r="AV44" s="1758">
        <f>SUM(AV43:AW43)</f>
        <v>0</v>
      </c>
      <c r="AW44" s="1759"/>
      <c r="AX44" s="1755">
        <f>SUM(AX43:AY43)</f>
        <v>0</v>
      </c>
      <c r="AY44" s="1757"/>
      <c r="AZ44" s="1758">
        <f>SUM(AZ43:BA43)</f>
        <v>0</v>
      </c>
      <c r="BA44" s="1759"/>
      <c r="BB44" s="1755">
        <f>SUM(BB43:BC43)</f>
        <v>0</v>
      </c>
      <c r="BC44" s="1757"/>
      <c r="BD44" s="1755">
        <f>SUM(BD43:BE43)</f>
        <v>0</v>
      </c>
      <c r="BE44" s="1757"/>
      <c r="BF44" s="1758">
        <f>SUM(BF43:BG43)</f>
        <v>0</v>
      </c>
      <c r="BG44" s="1759"/>
      <c r="BH44" s="1755">
        <f>SUM(BH43:BI43)</f>
        <v>0</v>
      </c>
      <c r="BI44" s="1757"/>
      <c r="BJ44" s="1758">
        <f>SUM(BJ43:BK43)</f>
        <v>0</v>
      </c>
      <c r="BK44" s="1759"/>
      <c r="BL44" s="1755">
        <f>SUM(BL43:BM43)</f>
        <v>0</v>
      </c>
      <c r="BM44" s="1757"/>
      <c r="BN44" s="1749" t="s">
        <v>218</v>
      </c>
      <c r="BO44" s="1750"/>
      <c r="BP44" s="295"/>
      <c r="BS44" s="284" t="s">
        <v>2031</v>
      </c>
      <c r="BT44" s="285">
        <f>BP39-BP36</f>
        <v>1000800</v>
      </c>
      <c r="BU44" s="286">
        <f>(BT44-BQ34)/BT44</f>
        <v>1</v>
      </c>
      <c r="BV44" s="285">
        <f>BT44/BU34</f>
        <v>117.46478873239437</v>
      </c>
    </row>
    <row r="45" spans="1:94" ht="14.5" thickBot="1" x14ac:dyDescent="0.35">
      <c r="J45" s="287" t="s">
        <v>2032</v>
      </c>
      <c r="N45" s="1746">
        <f>SUM(N43:Q43)</f>
        <v>128544</v>
      </c>
      <c r="O45" s="1747"/>
      <c r="P45" s="1747"/>
      <c r="Q45" s="1748"/>
      <c r="R45" s="1761">
        <f t="shared" ref="R45" si="56">SUM(R43:U43)</f>
        <v>136704</v>
      </c>
      <c r="S45" s="1762"/>
      <c r="T45" s="1762"/>
      <c r="U45" s="1763"/>
      <c r="V45" s="1746">
        <f t="shared" ref="V45" si="57">SUM(V43:BE43)</f>
        <v>735552</v>
      </c>
      <c r="W45" s="1747"/>
      <c r="X45" s="1747"/>
      <c r="Y45" s="1747"/>
      <c r="Z45" s="1747"/>
      <c r="AA45" s="1747"/>
      <c r="AB45" s="1747"/>
      <c r="AC45" s="1747"/>
      <c r="AD45" s="1747"/>
      <c r="AE45" s="1747"/>
      <c r="AF45" s="1747"/>
      <c r="AG45" s="1747"/>
      <c r="AH45" s="1747"/>
      <c r="AI45" s="1747"/>
      <c r="AJ45" s="1747"/>
      <c r="AK45" s="1747"/>
      <c r="AL45" s="1747"/>
      <c r="AM45" s="1747"/>
      <c r="AN45" s="1747"/>
      <c r="AO45" s="1747"/>
      <c r="AP45" s="1747"/>
      <c r="AQ45" s="1747"/>
      <c r="AR45" s="1747"/>
      <c r="AS45" s="1747"/>
      <c r="AT45" s="1747"/>
      <c r="AU45" s="1747"/>
      <c r="AV45" s="1747"/>
      <c r="AW45" s="1747"/>
      <c r="AX45" s="1747"/>
      <c r="AY45" s="1747"/>
      <c r="AZ45" s="1747"/>
      <c r="BA45" s="1747"/>
      <c r="BB45" s="1747"/>
      <c r="BC45" s="1747"/>
      <c r="BD45" s="1747"/>
      <c r="BE45" s="1748"/>
      <c r="BF45" s="1761">
        <f t="shared" ref="BF45" si="58">SUM(BF43:BI43)</f>
        <v>0</v>
      </c>
      <c r="BG45" s="1762"/>
      <c r="BH45" s="1762"/>
      <c r="BI45" s="1763"/>
      <c r="BJ45" s="1746">
        <f t="shared" ref="BJ45" si="59">SUM(BJ43:BM43)</f>
        <v>0</v>
      </c>
      <c r="BK45" s="1747"/>
      <c r="BL45" s="1747"/>
      <c r="BM45" s="1748"/>
      <c r="BN45" s="1749" t="s">
        <v>219</v>
      </c>
      <c r="BO45" s="1750"/>
      <c r="BP45" s="295"/>
      <c r="BS45" s="289" t="s">
        <v>2034</v>
      </c>
      <c r="BT45" s="290">
        <f>(BT34-BT36)*1.2</f>
        <v>1000800</v>
      </c>
      <c r="BU45" s="291">
        <f>(BT45-BQ34)/BT45</f>
        <v>1</v>
      </c>
      <c r="BV45" s="290">
        <f>BT45/BU34</f>
        <v>117.46478873239437</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3" t="s">
        <v>2044</v>
      </c>
      <c r="BO46" s="1754"/>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f t="shared" ref="N48:AS48" si="60">SUMPRODUCT(N16:N33,$BS$16:$BS$33)*40*1.3</f>
        <v>34814</v>
      </c>
      <c r="O48" s="278">
        <f t="shared" si="60"/>
        <v>34814</v>
      </c>
      <c r="P48" s="276">
        <f t="shared" si="60"/>
        <v>34814</v>
      </c>
      <c r="Q48" s="277">
        <f t="shared" si="60"/>
        <v>34814</v>
      </c>
      <c r="R48" s="278">
        <f t="shared" si="60"/>
        <v>37024</v>
      </c>
      <c r="S48" s="277">
        <f t="shared" si="60"/>
        <v>37024</v>
      </c>
      <c r="T48" s="278">
        <f t="shared" si="60"/>
        <v>37024</v>
      </c>
      <c r="U48" s="277">
        <f t="shared" si="60"/>
        <v>37024</v>
      </c>
      <c r="V48" s="278">
        <f t="shared" si="60"/>
        <v>37024</v>
      </c>
      <c r="W48" s="277">
        <f t="shared" si="60"/>
        <v>37024</v>
      </c>
      <c r="X48" s="278">
        <f t="shared" si="60"/>
        <v>37024</v>
      </c>
      <c r="Y48" s="277">
        <f t="shared" si="60"/>
        <v>37024</v>
      </c>
      <c r="Z48" s="278">
        <f t="shared" si="60"/>
        <v>37024</v>
      </c>
      <c r="AA48" s="277">
        <f t="shared" si="60"/>
        <v>32604</v>
      </c>
      <c r="AB48" s="278">
        <f t="shared" si="60"/>
        <v>32604</v>
      </c>
      <c r="AC48" s="277">
        <f t="shared" si="60"/>
        <v>32604</v>
      </c>
      <c r="AD48" s="278">
        <f t="shared" si="60"/>
        <v>32604</v>
      </c>
      <c r="AE48" s="277">
        <f t="shared" si="60"/>
        <v>37024</v>
      </c>
      <c r="AF48" s="278">
        <f t="shared" si="60"/>
        <v>37024</v>
      </c>
      <c r="AG48" s="277">
        <f t="shared" si="60"/>
        <v>37024</v>
      </c>
      <c r="AH48" s="277">
        <f t="shared" si="60"/>
        <v>37024</v>
      </c>
      <c r="AI48" s="278">
        <f t="shared" si="60"/>
        <v>37024</v>
      </c>
      <c r="AJ48" s="277">
        <f t="shared" si="60"/>
        <v>37024</v>
      </c>
      <c r="AK48" s="278">
        <f t="shared" si="60"/>
        <v>37024</v>
      </c>
      <c r="AL48" s="277">
        <f t="shared" si="60"/>
        <v>37024</v>
      </c>
      <c r="AM48" s="278">
        <f t="shared" si="60"/>
        <v>37024</v>
      </c>
      <c r="AN48" s="277">
        <f t="shared" si="60"/>
        <v>37024</v>
      </c>
      <c r="AO48" s="278">
        <f t="shared" si="60"/>
        <v>37024</v>
      </c>
      <c r="AP48" s="277">
        <f t="shared" si="60"/>
        <v>37024</v>
      </c>
      <c r="AQ48" s="278">
        <f t="shared" si="60"/>
        <v>37024</v>
      </c>
      <c r="AR48" s="277">
        <f t="shared" si="60"/>
        <v>0</v>
      </c>
      <c r="AS48" s="277">
        <f t="shared" si="60"/>
        <v>0</v>
      </c>
      <c r="AT48" s="278">
        <f t="shared" ref="AT48:BM48" si="61">SUMPRODUCT(AT16:AT33,$BS$16:$BS$33)*40*1.3</f>
        <v>0</v>
      </c>
      <c r="AU48" s="277">
        <f t="shared" si="61"/>
        <v>0</v>
      </c>
      <c r="AV48" s="278">
        <f t="shared" si="61"/>
        <v>0</v>
      </c>
      <c r="AW48" s="277">
        <f t="shared" si="61"/>
        <v>0</v>
      </c>
      <c r="AX48" s="278">
        <f t="shared" si="61"/>
        <v>0</v>
      </c>
      <c r="AY48" s="277">
        <f t="shared" si="61"/>
        <v>0</v>
      </c>
      <c r="AZ48" s="278">
        <f t="shared" si="61"/>
        <v>0</v>
      </c>
      <c r="BA48" s="277">
        <f t="shared" si="61"/>
        <v>0</v>
      </c>
      <c r="BB48" s="278">
        <f t="shared" si="61"/>
        <v>0</v>
      </c>
      <c r="BC48" s="277">
        <f t="shared" si="61"/>
        <v>0</v>
      </c>
      <c r="BD48" s="278">
        <f t="shared" si="61"/>
        <v>0</v>
      </c>
      <c r="BE48" s="277">
        <f t="shared" si="61"/>
        <v>0</v>
      </c>
      <c r="BF48" s="278">
        <f t="shared" si="61"/>
        <v>0</v>
      </c>
      <c r="BG48" s="277">
        <f t="shared" si="61"/>
        <v>0</v>
      </c>
      <c r="BH48" s="278">
        <f t="shared" si="61"/>
        <v>0</v>
      </c>
      <c r="BI48" s="277">
        <f t="shared" si="61"/>
        <v>0</v>
      </c>
      <c r="BJ48" s="278">
        <f t="shared" si="61"/>
        <v>0</v>
      </c>
      <c r="BK48" s="277">
        <f t="shared" si="61"/>
        <v>0</v>
      </c>
      <c r="BL48" s="278">
        <f t="shared" si="61"/>
        <v>0</v>
      </c>
      <c r="BM48" s="277">
        <f t="shared" si="61"/>
        <v>0</v>
      </c>
      <c r="BN48" s="297"/>
      <c r="BO48" s="298"/>
      <c r="BP48" s="299"/>
    </row>
    <row r="49" spans="1:68" ht="14.5" thickBot="1" x14ac:dyDescent="0.35">
      <c r="J49" s="273" t="s">
        <v>2029</v>
      </c>
      <c r="N49" s="282">
        <f>SUM(N48)</f>
        <v>34814</v>
      </c>
      <c r="O49" s="1755">
        <f>SUM(O48:Q48)</f>
        <v>104442</v>
      </c>
      <c r="P49" s="1756"/>
      <c r="Q49" s="1757"/>
      <c r="R49" s="1758">
        <f>SUM(R48:S48)</f>
        <v>74048</v>
      </c>
      <c r="S49" s="1759"/>
      <c r="T49" s="1755">
        <f>SUM(T48:U48)</f>
        <v>74048</v>
      </c>
      <c r="U49" s="1757"/>
      <c r="V49" s="1758">
        <f>SUM(V48:AS48)</f>
        <v>796848</v>
      </c>
      <c r="W49" s="1760"/>
      <c r="X49" s="1760"/>
      <c r="Y49" s="1760"/>
      <c r="Z49" s="1760"/>
      <c r="AA49" s="1760"/>
      <c r="AB49" s="1760"/>
      <c r="AC49" s="1760"/>
      <c r="AD49" s="1760"/>
      <c r="AE49" s="1760"/>
      <c r="AF49" s="1760"/>
      <c r="AG49" s="1760"/>
      <c r="AH49" s="1760"/>
      <c r="AI49" s="1760"/>
      <c r="AJ49" s="1760"/>
      <c r="AK49" s="1760"/>
      <c r="AL49" s="1760"/>
      <c r="AM49" s="1760"/>
      <c r="AN49" s="1760"/>
      <c r="AO49" s="1760"/>
      <c r="AP49" s="1760"/>
      <c r="AQ49" s="1760"/>
      <c r="AR49" s="1760"/>
      <c r="AS49" s="1759"/>
      <c r="AT49" s="1755">
        <f>SUM(AT48:AU48)</f>
        <v>0</v>
      </c>
      <c r="AU49" s="1757"/>
      <c r="AV49" s="1758">
        <f>SUM(AV48:AW48)</f>
        <v>0</v>
      </c>
      <c r="AW49" s="1759"/>
      <c r="AX49" s="1755">
        <f>SUM(AX48:AY48)</f>
        <v>0</v>
      </c>
      <c r="AY49" s="1757"/>
      <c r="AZ49" s="1758">
        <f>SUM(AZ48:BA48)</f>
        <v>0</v>
      </c>
      <c r="BA49" s="1759"/>
      <c r="BB49" s="1755">
        <f>SUM(BB48:BC48)</f>
        <v>0</v>
      </c>
      <c r="BC49" s="1757"/>
      <c r="BD49" s="1755">
        <f>SUM(BD48:BE48)</f>
        <v>0</v>
      </c>
      <c r="BE49" s="1757"/>
      <c r="BF49" s="1758">
        <f>SUM(BF48:BG48)</f>
        <v>0</v>
      </c>
      <c r="BG49" s="1759"/>
      <c r="BH49" s="1755">
        <f>SUM(BH48:BI48)</f>
        <v>0</v>
      </c>
      <c r="BI49" s="1757"/>
      <c r="BJ49" s="1758">
        <f>SUM(BJ48:BK48)</f>
        <v>0</v>
      </c>
      <c r="BK49" s="1759"/>
      <c r="BL49" s="1755">
        <f>SUM(BL48:BM48)</f>
        <v>0</v>
      </c>
      <c r="BM49" s="1757"/>
      <c r="BN49" s="297"/>
      <c r="BO49" s="298"/>
      <c r="BP49" s="299"/>
    </row>
    <row r="50" spans="1:68" ht="14.5" thickBot="1" x14ac:dyDescent="0.35">
      <c r="J50" s="287" t="s">
        <v>2032</v>
      </c>
      <c r="N50" s="1746">
        <f>SUM(N48:Q48)</f>
        <v>139256</v>
      </c>
      <c r="O50" s="1747"/>
      <c r="P50" s="1747"/>
      <c r="Q50" s="1748"/>
      <c r="R50" s="1761">
        <f>SUM(R48:U48)</f>
        <v>148096</v>
      </c>
      <c r="S50" s="1762"/>
      <c r="T50" s="1762"/>
      <c r="U50" s="1763"/>
      <c r="V50" s="1746">
        <f t="shared" ref="V50" si="62">SUM(V48:BE48)</f>
        <v>796848</v>
      </c>
      <c r="W50" s="1747"/>
      <c r="X50" s="1747"/>
      <c r="Y50" s="1747"/>
      <c r="Z50" s="1747"/>
      <c r="AA50" s="1747"/>
      <c r="AB50" s="1747"/>
      <c r="AC50" s="1747"/>
      <c r="AD50" s="1747"/>
      <c r="AE50" s="1747"/>
      <c r="AF50" s="1747"/>
      <c r="AG50" s="1747"/>
      <c r="AH50" s="1747"/>
      <c r="AI50" s="1747"/>
      <c r="AJ50" s="1747"/>
      <c r="AK50" s="1747"/>
      <c r="AL50" s="1747"/>
      <c r="AM50" s="1747"/>
      <c r="AN50" s="1747"/>
      <c r="AO50" s="1747"/>
      <c r="AP50" s="1747"/>
      <c r="AQ50" s="1747"/>
      <c r="AR50" s="1747"/>
      <c r="AS50" s="1747"/>
      <c r="AT50" s="1747"/>
      <c r="AU50" s="1747"/>
      <c r="AV50" s="1747"/>
      <c r="AW50" s="1747"/>
      <c r="AX50" s="1747"/>
      <c r="AY50" s="1747"/>
      <c r="AZ50" s="1747"/>
      <c r="BA50" s="1747"/>
      <c r="BB50" s="1747"/>
      <c r="BC50" s="1747"/>
      <c r="BD50" s="1747"/>
      <c r="BE50" s="1748"/>
      <c r="BF50" s="1761">
        <f t="shared" ref="BF50" si="63">SUM(BF48:BI48)</f>
        <v>0</v>
      </c>
      <c r="BG50" s="1762"/>
      <c r="BH50" s="1762"/>
      <c r="BI50" s="1763"/>
      <c r="BJ50" s="1746">
        <f t="shared" ref="BJ50" si="64">SUM(BJ48:BM48)</f>
        <v>0</v>
      </c>
      <c r="BK50" s="1747"/>
      <c r="BL50" s="1747"/>
      <c r="BM50" s="1748"/>
      <c r="BN50" s="301"/>
      <c r="BO50" s="302"/>
      <c r="BP50" s="303"/>
    </row>
    <row r="51" spans="1:68" ht="14.5" thickBot="1" x14ac:dyDescent="0.35">
      <c r="BN51" s="1751" t="s">
        <v>2047</v>
      </c>
      <c r="BO51" s="1752"/>
      <c r="BP51" s="863">
        <f>'4. Summary &amp; Totals'!C36</f>
        <v>926835</v>
      </c>
    </row>
    <row r="52" spans="1:68" x14ac:dyDescent="0.3">
      <c r="J52" s="304" t="s">
        <v>2048</v>
      </c>
      <c r="K52" s="305">
        <f>+BP34/BO34/8</f>
        <v>97.887323943661968</v>
      </c>
    </row>
    <row r="53" spans="1:68" x14ac:dyDescent="0.3">
      <c r="J53" s="306" t="s">
        <v>2049</v>
      </c>
      <c r="K53" s="307">
        <f>+BP39/BO34/8</f>
        <v>117.46478873239437</v>
      </c>
    </row>
    <row r="54" spans="1:68" ht="14.5" thickBot="1" x14ac:dyDescent="0.35">
      <c r="J54" s="308" t="s">
        <v>2050</v>
      </c>
      <c r="K54" s="309">
        <f>+BP40/BO34/8</f>
        <v>127.25352112676056</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81640625" style="395" bestFit="1" customWidth="1"/>
    <col min="10" max="16384" width="8.81640625" style="395"/>
  </cols>
  <sheetData>
    <row r="1" spans="2:8" s="469" customFormat="1" ht="7.5" customHeight="1" x14ac:dyDescent="0.3"/>
    <row r="2" spans="2:8" s="469" customFormat="1" ht="25.5" x14ac:dyDescent="0.3">
      <c r="B2" s="856" t="s">
        <v>3173</v>
      </c>
      <c r="F2" s="1852" t="s">
        <v>0</v>
      </c>
      <c r="G2" s="1853"/>
      <c r="H2" s="1854"/>
    </row>
    <row r="3" spans="2:8" s="469" customFormat="1" ht="25" customHeight="1" x14ac:dyDescent="0.3">
      <c r="B3" s="1823" t="s">
        <v>3193</v>
      </c>
      <c r="C3" s="1823"/>
      <c r="D3" s="1823"/>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61" t="s">
        <v>2315</v>
      </c>
      <c r="C7" s="1861"/>
      <c r="D7" s="1861"/>
      <c r="E7" s="1861"/>
      <c r="F7" s="1861"/>
      <c r="G7" s="1861"/>
    </row>
    <row r="8" spans="2:8" x14ac:dyDescent="0.3">
      <c r="B8" s="1824" t="s">
        <v>3300</v>
      </c>
      <c r="C8" s="1824"/>
      <c r="D8" s="1824"/>
      <c r="E8" s="1824"/>
      <c r="F8" s="1824"/>
      <c r="G8" s="1824"/>
    </row>
    <row r="9" spans="2:8" x14ac:dyDescent="0.3">
      <c r="B9" s="1827" t="s">
        <v>3301</v>
      </c>
      <c r="C9" s="1827"/>
      <c r="D9" s="1827"/>
      <c r="E9" s="1827"/>
      <c r="F9" s="1827"/>
      <c r="G9" s="1827"/>
    </row>
    <row r="10" spans="2:8" x14ac:dyDescent="0.3">
      <c r="B10" s="1824" t="s">
        <v>3302</v>
      </c>
      <c r="C10" s="1824"/>
      <c r="D10" s="1824"/>
      <c r="E10" s="1824"/>
      <c r="F10" s="1824"/>
      <c r="G10" s="1824"/>
    </row>
    <row r="11" spans="2:8" x14ac:dyDescent="0.3">
      <c r="B11" s="1731" t="s">
        <v>3303</v>
      </c>
      <c r="C11" s="1731"/>
      <c r="D11" s="1731"/>
      <c r="E11" s="1731"/>
      <c r="F11" s="1731"/>
      <c r="G11" s="1731"/>
    </row>
    <row r="12" spans="2:8" ht="27.5" customHeight="1" x14ac:dyDescent="0.3">
      <c r="B12" s="1731" t="s">
        <v>3304</v>
      </c>
      <c r="C12" s="1731"/>
      <c r="D12" s="1731"/>
      <c r="E12" s="1731"/>
      <c r="F12" s="1731"/>
      <c r="G12" s="1731"/>
    </row>
    <row r="14" spans="2:8" ht="17.5" x14ac:dyDescent="0.3">
      <c r="B14" s="859" t="s">
        <v>2325</v>
      </c>
      <c r="C14" s="475"/>
      <c r="D14" s="475"/>
      <c r="E14" s="475"/>
      <c r="F14" s="475"/>
      <c r="G14" s="475"/>
      <c r="H14" s="475"/>
    </row>
    <row r="15" spans="2:8" ht="33.5" customHeight="1" x14ac:dyDescent="0.3">
      <c r="B15" s="1731" t="s">
        <v>3310</v>
      </c>
      <c r="C15" s="1731"/>
      <c r="D15" s="1731"/>
      <c r="E15" s="1731"/>
      <c r="F15" s="1731"/>
      <c r="G15" s="1731"/>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50" t="s">
        <v>3291</v>
      </c>
      <c r="C19" s="1851"/>
    </row>
    <row r="20" spans="2:9" s="411" customFormat="1" ht="28" x14ac:dyDescent="0.35">
      <c r="B20" s="1518" t="s">
        <v>27</v>
      </c>
      <c r="C20" s="1521" t="s">
        <v>3288</v>
      </c>
    </row>
    <row r="21" spans="2:9" s="411" customFormat="1" x14ac:dyDescent="0.35">
      <c r="B21" s="1519" t="s">
        <v>3289</v>
      </c>
      <c r="C21" s="1522" t="s">
        <v>3395</v>
      </c>
    </row>
    <row r="22" spans="2:9" s="411" customFormat="1" x14ac:dyDescent="0.35">
      <c r="B22" s="1519" t="s">
        <v>3290</v>
      </c>
      <c r="C22" s="1522" t="s">
        <v>3396</v>
      </c>
    </row>
    <row r="23" spans="2:9" s="411" customFormat="1" x14ac:dyDescent="0.35">
      <c r="B23" s="1520" t="s">
        <v>278</v>
      </c>
      <c r="C23" s="1523" t="s">
        <v>3396</v>
      </c>
    </row>
    <row r="24" spans="2:9" x14ac:dyDescent="0.3">
      <c r="B24" s="1517"/>
      <c r="C24" s="1516"/>
    </row>
    <row r="25" spans="2:9" ht="17.5" x14ac:dyDescent="0.3">
      <c r="B25" s="1162" t="s">
        <v>2328</v>
      </c>
      <c r="C25" s="802"/>
      <c r="D25" s="403"/>
      <c r="E25" s="403"/>
      <c r="F25" s="403"/>
      <c r="G25" s="403"/>
      <c r="H25" s="403"/>
    </row>
    <row r="26" spans="2:9" x14ac:dyDescent="0.3">
      <c r="B26" s="1693" t="s">
        <v>3190</v>
      </c>
      <c r="C26" s="1693"/>
      <c r="D26" s="1693"/>
      <c r="E26" s="1693"/>
      <c r="F26" s="1693"/>
      <c r="G26" s="1693"/>
      <c r="H26" s="1693"/>
      <c r="I26" s="1693"/>
    </row>
    <row r="27" spans="2:9" x14ac:dyDescent="0.3">
      <c r="B27" s="1702" t="s">
        <v>3204</v>
      </c>
      <c r="C27" s="1702"/>
      <c r="D27" s="1702"/>
      <c r="E27" s="1702"/>
      <c r="F27" s="1702"/>
      <c r="G27" s="1702"/>
      <c r="H27" s="1702"/>
      <c r="I27" s="1466"/>
    </row>
    <row r="28" spans="2:9" x14ac:dyDescent="0.3">
      <c r="B28" s="1702" t="s">
        <v>3305</v>
      </c>
      <c r="C28" s="1702"/>
      <c r="D28" s="1702"/>
      <c r="E28" s="1702"/>
      <c r="F28" s="1702"/>
      <c r="G28" s="1702"/>
      <c r="H28" s="1702"/>
      <c r="I28" s="1466"/>
    </row>
    <row r="29" spans="2:9" x14ac:dyDescent="0.3">
      <c r="B29" s="1219"/>
      <c r="C29" s="1219"/>
      <c r="D29" s="1219"/>
      <c r="E29" s="1219"/>
      <c r="F29" s="1219"/>
      <c r="G29" s="1219"/>
      <c r="H29" s="1219"/>
      <c r="I29" s="1218"/>
    </row>
    <row r="30" spans="2:9" ht="19" customHeight="1" x14ac:dyDescent="0.3">
      <c r="B30" s="1648" t="s">
        <v>2265</v>
      </c>
      <c r="C30" s="1649"/>
    </row>
    <row r="31" spans="2:9" ht="19" customHeight="1" x14ac:dyDescent="0.3">
      <c r="B31" s="931" t="s">
        <v>2078</v>
      </c>
      <c r="C31" s="932">
        <f>'2. Roles &amp; Pricing'!D289</f>
        <v>834000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8" t="s">
        <v>2266</v>
      </c>
      <c r="C35" s="1649"/>
    </row>
    <row r="36" spans="2:15" ht="19" customHeight="1" x14ac:dyDescent="0.3">
      <c r="B36" s="931" t="s">
        <v>2078</v>
      </c>
      <c r="C36" s="932">
        <f>'2. Roles &amp; Pricing'!D289</f>
        <v>834000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8" t="s">
        <v>2377</v>
      </c>
      <c r="C41" s="1828"/>
      <c r="D41" s="1828"/>
      <c r="E41" s="1828"/>
      <c r="F41" s="1828"/>
      <c r="G41" s="1828"/>
      <c r="H41" s="1828"/>
      <c r="I41" s="1384"/>
    </row>
    <row r="42" spans="2:15" ht="14" customHeight="1" x14ac:dyDescent="0.3">
      <c r="B42" s="1826" t="s">
        <v>3191</v>
      </c>
      <c r="C42" s="1826"/>
      <c r="D42" s="1826"/>
      <c r="E42" s="1826"/>
      <c r="F42" s="1826"/>
      <c r="G42" s="1826"/>
      <c r="H42" s="1826"/>
      <c r="I42" s="1230"/>
    </row>
    <row r="43" spans="2:15" ht="15" customHeight="1" x14ac:dyDescent="0.3">
      <c r="B43" s="1826" t="s">
        <v>2331</v>
      </c>
      <c r="C43" s="1826"/>
      <c r="D43" s="1826"/>
      <c r="E43" s="1826"/>
      <c r="F43" s="1826"/>
      <c r="G43" s="1826"/>
      <c r="H43" s="1826"/>
    </row>
    <row r="44" spans="2:15" ht="15" customHeight="1" x14ac:dyDescent="0.3">
      <c r="B44" s="1731" t="s">
        <v>2326</v>
      </c>
      <c r="C44" s="1731"/>
      <c r="D44" s="1731"/>
      <c r="E44" s="1731"/>
      <c r="F44" s="1731"/>
      <c r="G44" s="1731"/>
      <c r="H44" s="710"/>
      <c r="J44" s="1206"/>
      <c r="K44" s="1206"/>
      <c r="L44" s="1206"/>
      <c r="M44" s="1206"/>
      <c r="N44" s="1206"/>
      <c r="O44" s="1206"/>
    </row>
    <row r="45" spans="2:15" ht="15" customHeight="1" x14ac:dyDescent="0.3">
      <c r="B45" s="1824" t="s">
        <v>3306</v>
      </c>
      <c r="C45" s="1824"/>
      <c r="D45" s="1824"/>
      <c r="E45" s="1824"/>
      <c r="F45" s="1824"/>
      <c r="G45" s="1824"/>
      <c r="H45" s="710"/>
      <c r="J45" s="1206"/>
      <c r="K45" s="1206"/>
      <c r="L45" s="1206"/>
      <c r="M45" s="1206"/>
      <c r="N45" s="1206"/>
      <c r="O45" s="1206"/>
    </row>
    <row r="46" spans="2:15" ht="29" customHeight="1" x14ac:dyDescent="0.3">
      <c r="B46" s="1824" t="s">
        <v>3205</v>
      </c>
      <c r="C46" s="1824"/>
      <c r="D46" s="1824"/>
      <c r="E46" s="1824"/>
      <c r="F46" s="1824"/>
      <c r="G46" s="1824"/>
      <c r="H46" s="1824"/>
      <c r="J46" s="1206"/>
      <c r="K46" s="1206"/>
      <c r="L46" s="1206"/>
      <c r="M46" s="1206"/>
      <c r="N46" s="1206"/>
      <c r="O46" s="1206"/>
    </row>
    <row r="47" spans="2:15" ht="15" customHeight="1" x14ac:dyDescent="0.3">
      <c r="B47" s="1825" t="s">
        <v>3192</v>
      </c>
      <c r="C47" s="1825"/>
      <c r="D47" s="1825"/>
      <c r="E47" s="1825"/>
      <c r="F47" s="1825"/>
      <c r="G47" s="1825"/>
      <c r="H47" s="710"/>
      <c r="J47" s="1206"/>
      <c r="K47" s="1206"/>
      <c r="L47" s="1206"/>
      <c r="M47" s="1206"/>
      <c r="N47" s="1206"/>
      <c r="O47" s="1206"/>
    </row>
    <row r="48" spans="2:15" x14ac:dyDescent="0.3">
      <c r="B48" s="1824" t="s">
        <v>2267</v>
      </c>
      <c r="C48" s="1824"/>
      <c r="D48" s="1824"/>
      <c r="E48" s="1824"/>
      <c r="F48" s="1824"/>
      <c r="G48" s="1824"/>
    </row>
    <row r="49" spans="2:9" x14ac:dyDescent="0.3">
      <c r="B49" s="710"/>
      <c r="C49" s="710"/>
      <c r="D49" s="710"/>
      <c r="E49" s="710"/>
      <c r="F49" s="710"/>
    </row>
    <row r="50" spans="2:9" x14ac:dyDescent="0.3">
      <c r="B50" s="1858" t="s">
        <v>2180</v>
      </c>
      <c r="C50" s="1859"/>
      <c r="D50" s="1859"/>
      <c r="E50" s="1860"/>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0.99908273381294965</v>
      </c>
      <c r="C52" s="938">
        <v>0.47</v>
      </c>
      <c r="D52" s="939">
        <f>B52-C52</f>
        <v>0.52908273381294968</v>
      </c>
      <c r="E52" s="940">
        <f>'2. Roles &amp; Pricing'!D289/'2. Roles &amp; Pricing'!M289</f>
        <v>97.887323943661968</v>
      </c>
      <c r="H52" s="562"/>
    </row>
    <row r="53" spans="2:9" x14ac:dyDescent="0.3">
      <c r="B53" s="1857"/>
      <c r="C53" s="1857"/>
      <c r="D53" s="1857"/>
      <c r="E53" s="1857"/>
      <c r="F53" s="1857"/>
      <c r="G53" s="556"/>
      <c r="H53" s="556"/>
    </row>
    <row r="54" spans="2:9" x14ac:dyDescent="0.3">
      <c r="B54" s="1829" t="s">
        <v>2179</v>
      </c>
      <c r="C54" s="1830"/>
      <c r="D54" s="1830"/>
      <c r="E54" s="1830"/>
      <c r="F54" s="1830"/>
      <c r="G54" s="1830"/>
      <c r="H54" s="1830"/>
      <c r="I54" s="1831"/>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1391500</v>
      </c>
      <c r="D56" s="1231">
        <f>('4. Summary &amp; Totals'!$C$67)/(1-D55)+'4. Summary &amp; Totals'!$C$68</f>
        <v>1464657.894736842</v>
      </c>
      <c r="E56" s="1231">
        <f>('4. Summary &amp; Totals'!$C$67)/(1-E55)+'4. Summary &amp; Totals'!$C$68</f>
        <v>1517863.6363636362</v>
      </c>
      <c r="F56" s="1231">
        <f>('4. Summary &amp; Totals'!$C$67)/(1-F55)+'4. Summary &amp; Totals'!$C$68</f>
        <v>1669500</v>
      </c>
      <c r="G56" s="1231">
        <f>('4. Summary &amp; Totals'!$C$67)/(1-G55)+'4. Summary &amp; Totals'!$C$68</f>
        <v>1854833.3333333335</v>
      </c>
      <c r="H56" s="1231" t="str">
        <f>IF(H55="Enter Test Margin %","",('4. Summary &amp; Totals'!$C$67)/(1-H55)+'4. Summary &amp; Totals'!$C$68)</f>
        <v/>
      </c>
      <c r="I56" s="1232" t="s">
        <v>3683</v>
      </c>
    </row>
    <row r="57" spans="2:9" x14ac:dyDescent="0.3">
      <c r="B57" s="945" t="s">
        <v>225</v>
      </c>
      <c r="C57" s="1233">
        <f>IFERROR(ROUNDUP((C56/'2. Roles &amp; Pricing'!$M$289),0),"")</f>
        <v>164</v>
      </c>
      <c r="D57" s="1233">
        <f>ROUNDUP(IFERROR(D56/'2. Roles &amp; Pricing'!$M$289,""),0)</f>
        <v>172</v>
      </c>
      <c r="E57" s="1233">
        <f>ROUNDUP(IFERROR(E56/'2. Roles &amp; Pricing'!$M$289,""),0)</f>
        <v>179</v>
      </c>
      <c r="F57" s="1233">
        <f>ROUNDUP(IFERROR(F56/'2. Roles &amp; Pricing'!$M$289,""),0)</f>
        <v>196</v>
      </c>
      <c r="G57" s="1233">
        <f>ROUNDUP(IFERROR(G56/'2. Roles &amp; Pricing'!$M$289,""),0)</f>
        <v>218</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846" t="s">
        <v>3307</v>
      </c>
      <c r="C60" s="1846"/>
      <c r="D60" s="1846"/>
      <c r="E60" s="1846"/>
      <c r="F60" s="1846"/>
      <c r="G60" s="1846"/>
      <c r="H60" s="1846"/>
    </row>
    <row r="61" spans="2:9" x14ac:dyDescent="0.3">
      <c r="B61" s="1708" t="s">
        <v>2330</v>
      </c>
      <c r="C61" s="1708"/>
      <c r="D61" s="1708"/>
      <c r="E61" s="1708"/>
      <c r="F61" s="1708"/>
      <c r="G61" s="1708"/>
    </row>
    <row r="62" spans="2:9" ht="15" customHeight="1" x14ac:dyDescent="0.3">
      <c r="B62" s="1216"/>
      <c r="C62" s="1213"/>
      <c r="D62" s="1213"/>
      <c r="E62" s="1213"/>
      <c r="F62" s="1213"/>
      <c r="G62" s="1213"/>
    </row>
    <row r="63" spans="2:9" x14ac:dyDescent="0.3">
      <c r="B63" s="1848" t="s">
        <v>2181</v>
      </c>
      <c r="C63" s="1849"/>
    </row>
    <row r="64" spans="2:9" x14ac:dyDescent="0.3">
      <c r="B64" s="946" t="s">
        <v>109</v>
      </c>
      <c r="C64" s="947">
        <f>'2. Roles &amp; Pricing'!D289</f>
        <v>834000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7" t="s">
        <v>2378</v>
      </c>
      <c r="C70" s="1847"/>
      <c r="D70" s="1847"/>
      <c r="E70" s="1847"/>
      <c r="F70" s="1847"/>
      <c r="G70" s="1847"/>
      <c r="H70" s="1847"/>
    </row>
    <row r="71" spans="2:8" ht="15" customHeight="1" x14ac:dyDescent="0.3">
      <c r="B71" s="1216"/>
      <c r="C71" s="1213"/>
      <c r="D71" s="1213"/>
      <c r="E71" s="1213"/>
      <c r="F71" s="1213"/>
      <c r="G71" s="1213"/>
    </row>
    <row r="72" spans="2:8" x14ac:dyDescent="0.3">
      <c r="B72" s="1838" t="s">
        <v>2290</v>
      </c>
      <c r="C72" s="1839"/>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3311</v>
      </c>
      <c r="C77" s="1840">
        <f>SUMIFS($C$73:$C$76,$D$73:$D$76,"Yes")</f>
        <v>1500</v>
      </c>
      <c r="D77" s="1841"/>
    </row>
    <row r="78" spans="2:8" x14ac:dyDescent="0.3">
      <c r="B78" s="1530" t="s">
        <v>3312</v>
      </c>
      <c r="C78" s="1842">
        <f>SUMIFS($C$73:$C$76,$D$73:$D$76,"No")</f>
        <v>2000</v>
      </c>
      <c r="D78" s="1843"/>
    </row>
    <row r="79" spans="2:8" x14ac:dyDescent="0.3">
      <c r="B79" s="566"/>
      <c r="C79" s="567"/>
      <c r="D79" s="568"/>
    </row>
    <row r="80" spans="2:8" ht="17.5" x14ac:dyDescent="0.3">
      <c r="B80" s="859" t="s">
        <v>3224</v>
      </c>
      <c r="C80" s="1465"/>
      <c r="D80" s="563"/>
      <c r="E80" s="564"/>
      <c r="F80" s="564"/>
      <c r="G80" s="564"/>
    </row>
    <row r="81" spans="2:8" x14ac:dyDescent="0.3">
      <c r="B81" s="1847" t="s">
        <v>3308</v>
      </c>
      <c r="C81" s="1847"/>
      <c r="D81" s="1847"/>
      <c r="E81" s="1847"/>
      <c r="F81" s="1847"/>
      <c r="G81" s="1847"/>
      <c r="H81" s="1847"/>
    </row>
    <row r="82" spans="2:8" x14ac:dyDescent="0.3">
      <c r="B82" s="1709" t="s">
        <v>3309</v>
      </c>
      <c r="C82" s="1709"/>
      <c r="D82" s="1709"/>
      <c r="E82" s="1709"/>
      <c r="F82" s="1709"/>
      <c r="G82" s="1709"/>
    </row>
    <row r="83" spans="2:8" ht="15" customHeight="1" x14ac:dyDescent="0.3">
      <c r="B83" s="1216"/>
      <c r="C83" s="1213"/>
      <c r="D83" s="1213"/>
      <c r="E83" s="1213"/>
      <c r="F83" s="1213"/>
      <c r="G83" s="1213"/>
    </row>
    <row r="84" spans="2:8" x14ac:dyDescent="0.3">
      <c r="B84" s="1844" t="s">
        <v>221</v>
      </c>
      <c r="C84" s="1845"/>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3313</v>
      </c>
      <c r="C88" s="1534">
        <f>SUM(C85:C87,C73:C78)</f>
        <v>7000</v>
      </c>
      <c r="D88" s="1537"/>
    </row>
    <row r="90" spans="2:8" ht="17.5" x14ac:dyDescent="0.3">
      <c r="B90" s="859" t="s">
        <v>2333</v>
      </c>
      <c r="C90" s="563"/>
      <c r="D90" s="563"/>
      <c r="E90" s="564"/>
      <c r="F90" s="564"/>
      <c r="G90" s="564"/>
    </row>
    <row r="91" spans="2:8" x14ac:dyDescent="0.3">
      <c r="B91" s="1847" t="s">
        <v>2335</v>
      </c>
      <c r="C91" s="1847"/>
      <c r="D91" s="1847"/>
      <c r="E91" s="1847"/>
      <c r="F91" s="1847"/>
      <c r="G91" s="1847"/>
      <c r="H91" s="1847"/>
    </row>
    <row r="92" spans="2:8" x14ac:dyDescent="0.3">
      <c r="B92" s="1709" t="s">
        <v>2334</v>
      </c>
      <c r="C92" s="1709"/>
      <c r="D92" s="1709"/>
      <c r="E92" s="1709"/>
      <c r="F92" s="1709"/>
      <c r="G92" s="1709"/>
    </row>
    <row r="93" spans="2:8" ht="15" customHeight="1" x14ac:dyDescent="0.3">
      <c r="B93" s="1216"/>
      <c r="C93" s="1213"/>
      <c r="D93" s="1213"/>
      <c r="E93" s="1213"/>
      <c r="F93" s="1213"/>
      <c r="G93" s="1213"/>
    </row>
    <row r="94" spans="2:8" x14ac:dyDescent="0.3">
      <c r="B94" s="1836" t="s">
        <v>214</v>
      </c>
      <c r="C94" s="1837"/>
    </row>
    <row r="95" spans="2:8" x14ac:dyDescent="0.3">
      <c r="B95" s="1832" t="s">
        <v>2169</v>
      </c>
      <c r="C95" s="1833"/>
    </row>
    <row r="96" spans="2:8" x14ac:dyDescent="0.3">
      <c r="B96" s="1834" t="s">
        <v>2169</v>
      </c>
      <c r="C96" s="1835"/>
    </row>
    <row r="97" spans="2:7" x14ac:dyDescent="0.3">
      <c r="B97" s="1834"/>
      <c r="C97" s="1835"/>
    </row>
    <row r="98" spans="2:7" x14ac:dyDescent="0.3">
      <c r="B98" s="1834"/>
      <c r="C98" s="1835"/>
    </row>
    <row r="99" spans="2:7" x14ac:dyDescent="0.3">
      <c r="B99" s="1834"/>
      <c r="C99" s="1835"/>
    </row>
    <row r="100" spans="2:7" x14ac:dyDescent="0.3">
      <c r="B100" s="1834"/>
      <c r="C100" s="1835"/>
    </row>
    <row r="101" spans="2:7" x14ac:dyDescent="0.3">
      <c r="B101" s="1834"/>
      <c r="C101" s="1835"/>
    </row>
    <row r="102" spans="2:7" x14ac:dyDescent="0.3">
      <c r="B102" s="1855"/>
      <c r="C102" s="1856"/>
    </row>
    <row r="107" spans="2:7" x14ac:dyDescent="0.3">
      <c r="B107" s="1709"/>
      <c r="C107" s="1709"/>
      <c r="D107" s="1709"/>
      <c r="E107" s="1709"/>
      <c r="F107" s="1709"/>
      <c r="G107" s="1709"/>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5"/>
      <c r="K1" s="1715"/>
      <c r="L1" s="1715"/>
    </row>
    <row r="2" spans="2:20" s="469" customFormat="1" ht="25.5" x14ac:dyDescent="0.3">
      <c r="B2" s="1862" t="s">
        <v>3196</v>
      </c>
      <c r="C2" s="1862"/>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4" t="s">
        <v>3281</v>
      </c>
      <c r="C7" s="1864"/>
      <c r="D7" s="1864"/>
      <c r="E7" s="1864"/>
      <c r="F7" s="1864"/>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5" t="s">
        <v>2379</v>
      </c>
      <c r="C10" s="1665"/>
      <c r="D10" s="1665"/>
      <c r="E10" s="1665"/>
      <c r="F10" s="1665"/>
      <c r="H10" s="579"/>
    </row>
    <row r="11" spans="2:20" ht="17" customHeight="1" x14ac:dyDescent="0.3">
      <c r="B11" s="1646" t="s">
        <v>2199</v>
      </c>
      <c r="C11" s="1647"/>
      <c r="D11" s="480"/>
      <c r="E11" s="1863"/>
      <c r="F11" s="1863"/>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3572</v>
      </c>
      <c r="C14" s="1402" t="str">
        <f>'2. Roles &amp; Pricing'!E20</f>
        <v>TA Digital</v>
      </c>
      <c r="D14" s="585"/>
      <c r="G14" s="413"/>
      <c r="K14" s="583"/>
      <c r="S14" s="581"/>
      <c r="T14" s="461"/>
    </row>
    <row r="15" spans="2:20" x14ac:dyDescent="0.3">
      <c r="B15" s="961" t="s">
        <v>19</v>
      </c>
      <c r="C15" s="1402" t="str">
        <f>'2. Roles &amp; Pricing'!E21</f>
        <v>TA Digital</v>
      </c>
      <c r="D15" s="494"/>
      <c r="E15" s="1863"/>
      <c r="F15" s="1863"/>
      <c r="G15" s="413"/>
      <c r="K15" s="507"/>
      <c r="S15" s="581"/>
      <c r="T15" s="461"/>
    </row>
    <row r="16" spans="2:20" x14ac:dyDescent="0.3">
      <c r="B16" s="961" t="s">
        <v>3297</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AEM implementation for MathCodeInc</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45931</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45931</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5" t="s">
        <v>2337</v>
      </c>
      <c r="C32" s="1665"/>
      <c r="D32" s="1665"/>
      <c r="E32" s="1665"/>
      <c r="F32" s="1665"/>
      <c r="H32" s="579"/>
    </row>
    <row r="33" spans="2:20" x14ac:dyDescent="0.3">
      <c r="B33" s="1665" t="s">
        <v>3299</v>
      </c>
      <c r="C33" s="1665"/>
      <c r="D33" s="1665"/>
      <c r="E33" s="1665"/>
      <c r="F33" s="1665"/>
      <c r="G33" s="413"/>
      <c r="S33" s="581"/>
      <c r="T33" s="596"/>
    </row>
    <row r="34" spans="2:20" ht="17.5" x14ac:dyDescent="0.3">
      <c r="B34" s="1235"/>
      <c r="C34" s="599"/>
      <c r="D34" s="413"/>
      <c r="E34" s="594"/>
      <c r="F34" s="594"/>
      <c r="G34" s="413"/>
      <c r="S34" s="581"/>
      <c r="T34" s="596"/>
    </row>
    <row r="35" spans="2:20" x14ac:dyDescent="0.3">
      <c r="B35" s="1646" t="s">
        <v>3209</v>
      </c>
      <c r="C35" s="1647"/>
      <c r="D35" s="413"/>
      <c r="E35" s="594"/>
      <c r="F35" s="594"/>
      <c r="G35" s="413"/>
      <c r="S35" s="581"/>
      <c r="T35" s="596"/>
    </row>
    <row r="36" spans="2:20" x14ac:dyDescent="0.3">
      <c r="B36" s="964" t="s">
        <v>2080</v>
      </c>
      <c r="C36" s="1407">
        <f>C61</f>
        <v>926835</v>
      </c>
      <c r="D36" s="413"/>
      <c r="E36" s="594"/>
      <c r="F36" s="594"/>
      <c r="G36" s="413"/>
      <c r="S36" s="581"/>
      <c r="T36" s="596"/>
    </row>
    <row r="37" spans="2:20" x14ac:dyDescent="0.3">
      <c r="B37" s="963" t="s">
        <v>3226</v>
      </c>
      <c r="C37" s="1408">
        <f>C53</f>
        <v>0.9968728794390409</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5" t="s">
        <v>3186</v>
      </c>
      <c r="C40" s="1665"/>
      <c r="D40" s="1665"/>
      <c r="E40" s="1665"/>
      <c r="F40" s="1665"/>
      <c r="H40" s="579"/>
    </row>
    <row r="41" spans="2:20" x14ac:dyDescent="0.3">
      <c r="B41" s="1665" t="s">
        <v>3282</v>
      </c>
      <c r="C41" s="1665"/>
      <c r="D41" s="1665"/>
      <c r="E41" s="1665"/>
      <c r="F41" s="1665"/>
      <c r="G41" s="413"/>
      <c r="S41" s="581"/>
      <c r="T41" s="596"/>
    </row>
    <row r="42" spans="2:20" ht="30" customHeight="1" x14ac:dyDescent="0.3">
      <c r="B42" s="1744" t="s">
        <v>3194</v>
      </c>
      <c r="C42" s="1744"/>
      <c r="D42" s="1744"/>
      <c r="E42" s="1744"/>
      <c r="F42" s="1744"/>
      <c r="G42" s="413"/>
      <c r="S42" s="581"/>
      <c r="T42" s="596"/>
    </row>
    <row r="43" spans="2:20" ht="17.5" x14ac:dyDescent="0.3">
      <c r="B43" s="1235"/>
      <c r="C43" s="599"/>
      <c r="D43" s="413"/>
      <c r="E43" s="594"/>
      <c r="F43" s="594"/>
      <c r="G43" s="413"/>
      <c r="S43" s="581"/>
      <c r="T43" s="596"/>
    </row>
    <row r="44" spans="2:20" x14ac:dyDescent="0.3">
      <c r="B44" s="1646" t="s">
        <v>3210</v>
      </c>
      <c r="C44" s="1647"/>
      <c r="D44" s="413"/>
      <c r="E44" s="594"/>
      <c r="F44" s="594"/>
      <c r="G44" s="413"/>
      <c r="S44" s="581"/>
      <c r="T44" s="596"/>
    </row>
    <row r="45" spans="2:20" x14ac:dyDescent="0.3">
      <c r="B45" s="964" t="s">
        <v>2087</v>
      </c>
      <c r="C45" s="1409">
        <f>IF(OR(C23="T&amp;M",C23="T&amp;M NTE"),C60,C61)</f>
        <v>926835</v>
      </c>
      <c r="D45" s="413"/>
      <c r="E45" s="594"/>
      <c r="F45" s="594"/>
      <c r="G45" s="413"/>
      <c r="S45" s="581"/>
      <c r="T45" s="596"/>
    </row>
    <row r="46" spans="2:20" x14ac:dyDescent="0.3">
      <c r="B46" s="961" t="s">
        <v>2088</v>
      </c>
      <c r="C46" s="1410">
        <f>COUNTA('2. Roles &amp; Pricing'!K48:K147)</f>
        <v>8</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3225</v>
      </c>
      <c r="C50" s="564"/>
      <c r="D50" s="475"/>
      <c r="E50" s="475"/>
      <c r="F50" s="475"/>
    </row>
    <row r="51" spans="2:20" ht="20" customHeight="1" x14ac:dyDescent="0.3">
      <c r="B51" s="1720" t="s">
        <v>2309</v>
      </c>
      <c r="C51" s="1720"/>
      <c r="D51" s="1720"/>
      <c r="E51" s="1720"/>
      <c r="F51" s="1720"/>
    </row>
    <row r="52" spans="2:20" ht="20" customHeight="1" x14ac:dyDescent="0.3">
      <c r="B52" s="1646" t="s">
        <v>3393</v>
      </c>
      <c r="C52" s="1647"/>
      <c r="E52" s="413"/>
      <c r="J52" s="492"/>
      <c r="K52" s="600"/>
      <c r="L52" s="492"/>
    </row>
    <row r="53" spans="2:20" x14ac:dyDescent="0.3">
      <c r="B53" s="1240" t="s">
        <v>1673</v>
      </c>
      <c r="C53" s="1412">
        <f>IFERROR((C72-C79)/C72,"")</f>
        <v>0.9968728794390409</v>
      </c>
      <c r="E53" s="413"/>
      <c r="J53" s="495"/>
      <c r="K53" s="601"/>
      <c r="L53" s="496"/>
    </row>
    <row r="54" spans="2:20" x14ac:dyDescent="0.3">
      <c r="B54" s="867" t="s">
        <v>111</v>
      </c>
      <c r="C54" s="1413">
        <f>IFERROR('2. Roles &amp; Pricing'!$D$289/'2. Roles &amp; Pricing'!M289,"")</f>
        <v>97.887323943661968</v>
      </c>
      <c r="E54" s="413"/>
      <c r="J54" s="495"/>
      <c r="K54" s="601"/>
      <c r="L54" s="496"/>
    </row>
    <row r="55" spans="2:20" x14ac:dyDescent="0.3">
      <c r="B55" s="1239" t="s">
        <v>2093</v>
      </c>
      <c r="C55" s="1414">
        <f>IFERROR(($C$71+$C$67*(1+C56)),"Enter Contingency % on Summary Inputs")</f>
        <v>882700</v>
      </c>
      <c r="E55" s="602"/>
      <c r="J55" s="495"/>
      <c r="K55" s="601"/>
      <c r="L55" s="496"/>
      <c r="T55" s="603"/>
    </row>
    <row r="56" spans="2:20" ht="14" customHeight="1" x14ac:dyDescent="0.3">
      <c r="B56" s="1567" t="s">
        <v>2079</v>
      </c>
      <c r="C56" s="1874">
        <f>'3. Financial Inputs'!C17</f>
        <v>0.05</v>
      </c>
      <c r="E56" s="484"/>
      <c r="J56" s="495"/>
      <c r="K56" s="601"/>
      <c r="L56" s="496"/>
    </row>
    <row r="57" spans="2:20" ht="14" customHeight="1" x14ac:dyDescent="0.3">
      <c r="B57" s="1568" t="s">
        <v>3413</v>
      </c>
      <c r="C57" s="1875"/>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882700</v>
      </c>
      <c r="E60" s="484"/>
      <c r="J60" s="495"/>
      <c r="K60" s="601"/>
      <c r="L60" s="496"/>
      <c r="T60" s="605"/>
    </row>
    <row r="61" spans="2:20" x14ac:dyDescent="0.3">
      <c r="B61" s="1238" t="s">
        <v>2081</v>
      </c>
      <c r="C61" s="1540">
        <f>IFERROR(C60*(1+C56),"Incomplete Project Information")</f>
        <v>926835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3316</v>
      </c>
      <c r="C64" s="576"/>
      <c r="D64" s="413"/>
      <c r="E64" s="1543"/>
      <c r="J64" s="495"/>
      <c r="K64" s="601"/>
      <c r="L64" s="496"/>
      <c r="T64" s="605"/>
    </row>
    <row r="65" spans="2:20" ht="29" customHeight="1" x14ac:dyDescent="0.3">
      <c r="B65" s="1873" t="s">
        <v>3195</v>
      </c>
      <c r="C65" s="1873"/>
      <c r="D65" s="1542"/>
      <c r="E65" s="1542"/>
      <c r="F65" s="1542"/>
      <c r="J65" s="495"/>
      <c r="K65" s="601"/>
      <c r="L65" s="496"/>
      <c r="T65" s="605"/>
    </row>
    <row r="66" spans="2:20" ht="18" customHeight="1" x14ac:dyDescent="0.3">
      <c r="B66" s="1648" t="s">
        <v>3394</v>
      </c>
      <c r="C66" s="1649"/>
      <c r="D66" s="413"/>
      <c r="E66" s="413"/>
      <c r="J66" s="495"/>
      <c r="K66" s="601"/>
      <c r="L66" s="496"/>
      <c r="T66" s="605"/>
    </row>
    <row r="67" spans="2:20" ht="18" customHeight="1" x14ac:dyDescent="0.3">
      <c r="B67" s="966" t="s">
        <v>3319</v>
      </c>
      <c r="C67" s="1417">
        <f>IFERROR('2. Roles &amp; Pricing'!D289,0)</f>
        <v>834000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3292</v>
      </c>
      <c r="C69" s="1420">
        <f>C67*C56</f>
        <v>41700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3317</v>
      </c>
      <c r="C71" s="1420">
        <f>'3. Financial Inputs'!C88</f>
        <v>7000</v>
      </c>
      <c r="D71" s="413"/>
      <c r="E71" s="413"/>
      <c r="J71" s="495"/>
      <c r="K71" s="601"/>
      <c r="L71" s="496"/>
    </row>
    <row r="72" spans="2:20" ht="18" customHeight="1" x14ac:dyDescent="0.3">
      <c r="B72" s="968" t="s">
        <v>3318</v>
      </c>
      <c r="C72" s="1421">
        <f>SUM(C67:C71)</f>
        <v>884200</v>
      </c>
      <c r="D72" s="413"/>
      <c r="E72" s="413"/>
      <c r="J72" s="495"/>
      <c r="K72" s="601"/>
      <c r="L72" s="496"/>
    </row>
    <row r="73" spans="2:20" x14ac:dyDescent="0.3">
      <c r="B73" s="1538"/>
      <c r="C73" s="1539"/>
      <c r="D73" s="413"/>
      <c r="E73" s="413"/>
      <c r="J73" s="495"/>
      <c r="K73" s="601"/>
      <c r="L73" s="496"/>
    </row>
    <row r="74" spans="2:20" ht="17.5" x14ac:dyDescent="0.3">
      <c r="B74" s="859" t="s">
        <v>3314</v>
      </c>
      <c r="C74" s="576"/>
      <c r="D74" s="413"/>
      <c r="E74" s="413"/>
      <c r="J74" s="495"/>
      <c r="K74" s="601"/>
      <c r="L74" s="496"/>
    </row>
    <row r="75" spans="2:20" ht="28.5" customHeight="1" x14ac:dyDescent="0.3">
      <c r="B75" s="1873" t="s">
        <v>3195</v>
      </c>
      <c r="C75" s="1873"/>
      <c r="D75" s="1542"/>
      <c r="E75" s="1542"/>
      <c r="F75" s="1542"/>
      <c r="J75" s="495"/>
      <c r="K75" s="601"/>
      <c r="L75" s="496"/>
    </row>
    <row r="76" spans="2:20" x14ac:dyDescent="0.3">
      <c r="B76" s="1648" t="s">
        <v>3315</v>
      </c>
      <c r="C76" s="1649"/>
      <c r="D76" s="413"/>
      <c r="E76" s="413"/>
      <c r="J76" s="495"/>
      <c r="K76" s="601"/>
      <c r="L76" s="496"/>
    </row>
    <row r="77" spans="2:20" x14ac:dyDescent="0.3">
      <c r="B77" s="967" t="s">
        <v>239</v>
      </c>
      <c r="C77" s="1418">
        <f>SUM('2. Roles &amp; Pricing'!$F$291:$F$390)</f>
        <v>765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2765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3320</v>
      </c>
      <c r="C82" s="475"/>
      <c r="D82" s="475"/>
      <c r="E82" s="475"/>
      <c r="F82" s="475"/>
    </row>
    <row r="83" spans="2:12" x14ac:dyDescent="0.3">
      <c r="B83" s="1872"/>
      <c r="C83" s="1872"/>
      <c r="D83" s="1872"/>
      <c r="E83" s="1872"/>
      <c r="F83" s="1872"/>
      <c r="L83" s="412"/>
    </row>
    <row r="84" spans="2:12" x14ac:dyDescent="0.3">
      <c r="B84" s="1865" t="s">
        <v>188</v>
      </c>
      <c r="C84" s="1866"/>
      <c r="E84" s="429"/>
      <c r="L84" s="412"/>
    </row>
    <row r="85" spans="2:12" x14ac:dyDescent="0.3">
      <c r="B85" s="1148" t="s">
        <v>190</v>
      </c>
      <c r="C85" s="1463">
        <f>IFERROR((SUMIF('2. Roles &amp; Pricing'!W48:W147,"Offshore",'2. Roles &amp; Pricing'!D291:D390))/SUMIF('2. Roles &amp; Pricing'!W48:W147,"Offshore",'2. Roles &amp; Pricing'!M291:M390),"")</f>
        <v>66.666666666666671</v>
      </c>
      <c r="E85" s="429"/>
      <c r="L85" s="412"/>
    </row>
    <row r="86" spans="2:12" x14ac:dyDescent="0.3">
      <c r="B86" s="1149" t="s">
        <v>191</v>
      </c>
      <c r="C86" s="1422">
        <f>IFERROR((SUMIF('2. Roles &amp; Pricing'!W48:W147,"Onshore",'2. Roles &amp; Pricing'!D291:D390))/SUMIF('2. Roles &amp; Pricing'!W48:W147,"Onshore",'2. Roles &amp; Pricing'!M291:M390),"")</f>
        <v>177.5</v>
      </c>
      <c r="E86" s="429"/>
      <c r="L86" s="412"/>
    </row>
    <row r="87" spans="2:12" x14ac:dyDescent="0.3">
      <c r="B87" s="1149" t="s">
        <v>192</v>
      </c>
      <c r="C87" s="1423">
        <f>IFERROR((COUNTIF('2. Roles &amp; Pricing'!W48:W147,"Offshore")/SUM(COUNTIF('2. Roles &amp; Pricing'!W48:W147,"Onshore"),COUNTIF('2. Roles &amp; Pricing'!W48:W147,"Offshore"))),"")</f>
        <v>0.75</v>
      </c>
      <c r="E87" s="429"/>
      <c r="L87" s="412"/>
    </row>
    <row r="88" spans="2:12" x14ac:dyDescent="0.3">
      <c r="B88" s="1149" t="s">
        <v>111</v>
      </c>
      <c r="C88" s="1422">
        <f>IFERROR('2. Roles &amp; Pricing'!D289/'2. Roles &amp; Pricing'!M289,"")</f>
        <v>97.887323943661968</v>
      </c>
      <c r="E88" s="429"/>
      <c r="L88" s="412"/>
    </row>
    <row r="89" spans="2:12" x14ac:dyDescent="0.3">
      <c r="B89" s="1149" t="s">
        <v>194</v>
      </c>
      <c r="C89" s="1424">
        <f>COUNTIF('2. Roles &amp; Pricing'!$Y48:$Y147,"&gt;=21")</f>
        <v>7</v>
      </c>
      <c r="E89" s="429"/>
      <c r="L89" s="412"/>
    </row>
    <row r="90" spans="2:12" x14ac:dyDescent="0.3">
      <c r="B90" s="1149" t="s">
        <v>195</v>
      </c>
      <c r="C90" s="1424">
        <f>COUNTIFS('2. Roles &amp; Pricing'!Y48:Y147,"&lt;=20")</f>
        <v>1</v>
      </c>
      <c r="E90" s="429"/>
      <c r="L90" s="412"/>
    </row>
    <row r="91" spans="2:12" x14ac:dyDescent="0.3">
      <c r="B91" s="1149" t="s">
        <v>196</v>
      </c>
      <c r="C91" s="1425">
        <f>'2. Roles &amp; Pricing'!M289</f>
        <v>8520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8</v>
      </c>
      <c r="E93" s="429"/>
      <c r="L93" s="412"/>
    </row>
    <row r="94" spans="2:12" x14ac:dyDescent="0.3">
      <c r="E94" s="429"/>
      <c r="L94" s="412"/>
    </row>
    <row r="95" spans="2:12" x14ac:dyDescent="0.3">
      <c r="E95" s="429"/>
      <c r="L95" s="412"/>
    </row>
    <row r="96" spans="2:12" x14ac:dyDescent="0.3">
      <c r="B96" s="1648" t="s">
        <v>199</v>
      </c>
      <c r="C96" s="1871"/>
      <c r="D96" s="1871"/>
      <c r="E96" s="1871"/>
      <c r="F96" s="1649"/>
      <c r="H96" s="1870"/>
      <c r="I96" s="1870"/>
      <c r="J96" s="1870"/>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8520</v>
      </c>
      <c r="D99" s="1429">
        <f>IFERROR(C99/'2. Roles &amp; Pricing'!$M$289,"")</f>
        <v>1</v>
      </c>
      <c r="E99" s="1433">
        <f>SUMIF('2. Roles &amp; Pricing'!$C$48:$C$147,"TADIndia",'2. Roles &amp; Pricing'!$D$291:$D$390)+SUMIF('2. Roles &amp; Pricing'!$C$48:$C$147,"TADNorthAmerica",'2. Roles &amp; Pricing'!$D$291:$D$390)</f>
        <v>834000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867" t="s">
        <v>226</v>
      </c>
      <c r="C107" s="1868"/>
      <c r="D107" s="1869"/>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0</v>
      </c>
      <c r="D109" s="1445">
        <f>IFERROR(C109/'2. Roles &amp; Pricing'!$M$289,"")</f>
        <v>0</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5760</v>
      </c>
      <c r="D111" s="1447">
        <f>IFERROR(C111/'2. Roles &amp; Pricing'!$M$289,"")</f>
        <v>0.676056338028169</v>
      </c>
      <c r="E111" s="612"/>
      <c r="F111" s="613"/>
      <c r="H111" s="458"/>
      <c r="I111" s="496"/>
      <c r="J111" s="508"/>
    </row>
    <row r="112" spans="2:10" x14ac:dyDescent="0.3">
      <c r="B112" s="978" t="s">
        <v>114</v>
      </c>
      <c r="C112" s="1446">
        <f>IFERROR(SUMIF('2. Roles &amp; Pricing'!$N$48:$N$147,3,'2. Roles &amp; Pricing'!$M$291:$M$390),"")</f>
        <v>2160</v>
      </c>
      <c r="D112" s="1447">
        <f>IFERROR(C112/'2. Roles &amp; Pricing'!$M$289,"")</f>
        <v>0.25352112676056338</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600</v>
      </c>
      <c r="D114" s="1447">
        <f>IFERROR(C114/'2. Roles &amp; Pricing'!$M$289,"")</f>
        <v>7.0422535211267609E-2</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3321</v>
      </c>
      <c r="C119" s="563"/>
      <c r="D119" s="563"/>
      <c r="E119" s="564"/>
      <c r="F119" s="564"/>
      <c r="G119" s="564"/>
      <c r="I119" s="413"/>
      <c r="J119" s="413"/>
      <c r="K119" s="413"/>
      <c r="L119" s="413"/>
      <c r="M119" s="413"/>
      <c r="N119" s="413"/>
      <c r="O119" s="413"/>
      <c r="P119" s="413"/>
    </row>
    <row r="120" spans="2:16" ht="28" x14ac:dyDescent="0.3">
      <c r="B120" s="1545" t="s">
        <v>3322</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3421</v>
      </c>
      <c r="C123" s="413"/>
      <c r="D123" s="413"/>
      <c r="E123" s="413"/>
      <c r="F123" s="413"/>
      <c r="G123" s="413"/>
      <c r="H123" s="413"/>
      <c r="I123" s="413"/>
      <c r="J123" s="413"/>
      <c r="K123" s="413"/>
      <c r="L123" s="413"/>
      <c r="M123" s="413"/>
      <c r="N123" s="413"/>
      <c r="O123" s="413"/>
      <c r="P123" s="413"/>
    </row>
    <row r="124" spans="2:16" x14ac:dyDescent="0.3">
      <c r="B124" s="413" t="s">
        <v>3420</v>
      </c>
      <c r="C124" s="413"/>
      <c r="D124" s="413"/>
      <c r="E124" s="413"/>
      <c r="F124" s="413"/>
      <c r="G124" s="413"/>
      <c r="H124" s="413"/>
      <c r="I124" s="413"/>
      <c r="J124" s="413"/>
      <c r="K124" s="413"/>
      <c r="L124" s="413"/>
      <c r="M124" s="413"/>
      <c r="N124" s="413"/>
      <c r="O124" s="413"/>
      <c r="P124" s="413"/>
    </row>
    <row r="125" spans="2:16" x14ac:dyDescent="0.3">
      <c r="B125" s="413" t="s">
        <v>3422</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6" t="s">
        <v>2304</v>
      </c>
      <c r="D3" s="1876"/>
      <c r="E3" s="735" t="str">
        <f>'2. Roles &amp; Pricing'!L3</f>
        <v>ROPE Ready for Upload</v>
      </c>
    </row>
    <row r="4" spans="1:150" s="469" customFormat="1" ht="13" customHeight="1" x14ac:dyDescent="0.3">
      <c r="C4" s="1876"/>
      <c r="D4" s="1876"/>
    </row>
    <row r="5" spans="1:150" s="526" customFormat="1" ht="7" customHeight="1" x14ac:dyDescent="0.3"/>
    <row r="6" spans="1:150" ht="17.5" x14ac:dyDescent="0.3">
      <c r="C6" s="740" t="s">
        <v>2</v>
      </c>
      <c r="D6" s="403"/>
      <c r="E6" s="403"/>
    </row>
    <row r="7" spans="1:150" x14ac:dyDescent="0.3">
      <c r="C7" s="1881" t="s">
        <v>3283</v>
      </c>
      <c r="D7" s="1881"/>
      <c r="E7" s="1881"/>
    </row>
    <row r="8" spans="1:150" x14ac:dyDescent="0.3">
      <c r="C8" s="1882" t="s">
        <v>3284</v>
      </c>
      <c r="D8" s="1882"/>
      <c r="E8" s="1882"/>
    </row>
    <row r="9" spans="1:150" x14ac:dyDescent="0.3">
      <c r="C9" s="1882" t="s">
        <v>3285</v>
      </c>
      <c r="D9" s="1882"/>
      <c r="E9" s="1882"/>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8" t="s">
        <v>2161</v>
      </c>
      <c r="D13" s="1649"/>
    </row>
    <row r="14" spans="1:150" ht="24.5" customHeight="1" x14ac:dyDescent="0.3">
      <c r="C14" s="1877" t="str">
        <f>IF(COUNTIF(B21:B99,"FAIL")&gt;0,"ROPE Not Ready for Upload","ROPE Ready for Upload")</f>
        <v>ROPE Ready for Upload</v>
      </c>
      <c r="D14" s="1879" t="str">
        <f>IF(C14="ROPE Not Ready for Upload","Please see below list to determine what inputs are needed for your ROPE to upload successfully","")</f>
        <v/>
      </c>
    </row>
    <row r="15" spans="1:150" ht="30.5" customHeight="1" x14ac:dyDescent="0.3">
      <c r="C15" s="1878"/>
      <c r="D15" s="1880"/>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8" t="s">
        <v>2182</v>
      </c>
      <c r="D19" s="1871"/>
      <c r="E19" s="1649"/>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3572</v>
      </c>
      <c r="D21" s="995" t="s">
        <v>2380</v>
      </c>
      <c r="E21" s="996" t="s">
        <v>3688</v>
      </c>
    </row>
    <row r="22" spans="1:150" ht="30" customHeight="1" x14ac:dyDescent="0.3">
      <c r="B22" s="624" t="str">
        <f>IF('1. Project Inputs'!C22="Enter Project Code","FAIL","PASS")</f>
        <v>PASS</v>
      </c>
      <c r="C22" s="990" t="s">
        <v>2064</v>
      </c>
      <c r="D22" s="988" t="s">
        <v>2381</v>
      </c>
      <c r="E22" s="991" t="s">
        <v>3687</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3292</v>
      </c>
      <c r="D33" s="988" t="s">
        <v>3293</v>
      </c>
      <c r="E33" s="992" t="s">
        <v>3294</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7" t="s">
        <v>0</v>
      </c>
      <c r="J2" s="1721"/>
      <c r="K2" s="1942"/>
      <c r="L2" s="622" t="s">
        <v>2241</v>
      </c>
      <c r="P2" s="745"/>
      <c r="Q2" s="745"/>
      <c r="R2" s="469"/>
      <c r="S2" s="469"/>
    </row>
    <row r="3" spans="2:19" s="744" customFormat="1" ht="42" x14ac:dyDescent="0.3">
      <c r="B3" s="1949" t="s">
        <v>2305</v>
      </c>
      <c r="C3" s="1949"/>
      <c r="D3" s="1949"/>
      <c r="E3" s="1949"/>
      <c r="F3" s="1949"/>
      <c r="G3" s="1949"/>
      <c r="H3" s="1950"/>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4" t="s">
        <v>3682</v>
      </c>
      <c r="C6" s="1954"/>
      <c r="D6" s="1954"/>
      <c r="E6" s="1597"/>
      <c r="F6" s="1597"/>
      <c r="J6" s="1598"/>
      <c r="P6" s="852"/>
      <c r="Q6" s="852"/>
    </row>
    <row r="7" spans="2:19" s="407" customFormat="1" ht="15" customHeight="1" x14ac:dyDescent="0.3">
      <c r="B7" s="1952" t="s">
        <v>3684</v>
      </c>
      <c r="C7" s="1952"/>
      <c r="D7" s="1952"/>
      <c r="E7" s="1952"/>
      <c r="F7" s="1952"/>
      <c r="G7" s="1952"/>
      <c r="H7" s="1952"/>
      <c r="I7" s="1952"/>
      <c r="J7" s="1952"/>
      <c r="P7" s="852"/>
      <c r="Q7" s="852"/>
      <c r="R7" s="406"/>
      <c r="S7" s="406"/>
    </row>
    <row r="8" spans="2:19" s="407" customFormat="1" ht="26" customHeight="1" x14ac:dyDescent="0.3">
      <c r="B8" s="1952"/>
      <c r="C8" s="1952"/>
      <c r="D8" s="1952"/>
      <c r="E8" s="1952"/>
      <c r="F8" s="1952"/>
      <c r="G8" s="1952"/>
      <c r="H8" s="1952"/>
      <c r="I8" s="1952"/>
      <c r="J8" s="1952"/>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3" t="s">
        <v>3283</v>
      </c>
      <c r="C11" s="1953"/>
      <c r="D11" s="1953"/>
      <c r="E11" s="444"/>
      <c r="F11" s="444"/>
    </row>
    <row r="12" spans="2:19" x14ac:dyDescent="0.3">
      <c r="B12" s="1951" t="s">
        <v>2288</v>
      </c>
      <c r="C12" s="1899"/>
      <c r="D12" s="1899"/>
      <c r="E12" s="1899"/>
      <c r="F12" s="1900"/>
      <c r="G12" s="1551"/>
      <c r="H12" s="1551"/>
      <c r="I12" s="1551"/>
      <c r="J12" s="1551"/>
    </row>
    <row r="13" spans="2:19" s="411" customFormat="1" x14ac:dyDescent="0.3">
      <c r="B13" s="873" t="s">
        <v>1304</v>
      </c>
      <c r="C13" s="1940" t="str">
        <f>'1. Project Inputs'!C18</f>
        <v>C Spire</v>
      </c>
      <c r="D13" s="1940"/>
      <c r="E13" s="1940"/>
      <c r="F13" s="1941"/>
      <c r="M13" s="1933"/>
      <c r="N13" s="1933"/>
      <c r="P13" s="632"/>
      <c r="Q13" s="632"/>
      <c r="R13" s="395"/>
      <c r="S13" s="395"/>
    </row>
    <row r="14" spans="2:19" s="411" customFormat="1" x14ac:dyDescent="0.3">
      <c r="B14" s="869" t="s">
        <v>1886</v>
      </c>
      <c r="C14" s="1934" t="s">
        <v>4</v>
      </c>
      <c r="D14" s="1934"/>
      <c r="E14" s="1934"/>
      <c r="F14" s="1935"/>
      <c r="M14" s="476"/>
      <c r="N14" s="476"/>
      <c r="O14" s="632"/>
      <c r="P14" s="395"/>
      <c r="Q14" s="395"/>
    </row>
    <row r="15" spans="2:19" s="411" customFormat="1" x14ac:dyDescent="0.3">
      <c r="B15" s="869" t="s">
        <v>1888</v>
      </c>
      <c r="C15" s="1934" t="s">
        <v>4</v>
      </c>
      <c r="D15" s="1934"/>
      <c r="E15" s="1934"/>
      <c r="F15" s="1935"/>
      <c r="M15" s="476"/>
      <c r="N15" s="476"/>
      <c r="P15" s="632"/>
      <c r="Q15" s="632"/>
      <c r="R15" s="395"/>
      <c r="S15" s="395"/>
    </row>
    <row r="16" spans="2:19" s="411" customFormat="1" x14ac:dyDescent="0.3">
      <c r="B16" s="869" t="s">
        <v>22</v>
      </c>
      <c r="C16" s="1936" t="str">
        <f>'1. Project Inputs'!C23</f>
        <v>AEM implementation for MathCodeInc</v>
      </c>
      <c r="D16" s="1936"/>
      <c r="E16" s="1936"/>
      <c r="F16" s="1937"/>
      <c r="M16" s="476"/>
      <c r="N16" s="476"/>
      <c r="P16" s="632"/>
      <c r="Q16" s="632"/>
      <c r="R16" s="395"/>
      <c r="S16" s="395"/>
    </row>
    <row r="17" spans="2:19" s="411" customFormat="1" x14ac:dyDescent="0.3">
      <c r="B17" s="869" t="s">
        <v>23</v>
      </c>
      <c r="C17" s="1938" t="str">
        <f>'1. Project Inputs'!C24</f>
        <v>Digital - Systems Implementation</v>
      </c>
      <c r="D17" s="1938"/>
      <c r="E17" s="1938"/>
      <c r="F17" s="1939"/>
      <c r="P17" s="632"/>
      <c r="Q17" s="632"/>
      <c r="R17" s="395"/>
      <c r="S17" s="395"/>
    </row>
    <row r="18" spans="2:19" s="411" customFormat="1" x14ac:dyDescent="0.3">
      <c r="B18" s="869" t="s">
        <v>49</v>
      </c>
      <c r="C18" s="1938" t="str">
        <f>'1. Project Inputs'!C25</f>
        <v>Standard Rates</v>
      </c>
      <c r="D18" s="1938"/>
      <c r="E18" s="1938"/>
      <c r="F18" s="1939"/>
      <c r="P18" s="632"/>
      <c r="Q18" s="632"/>
      <c r="R18" s="395"/>
      <c r="S18" s="395"/>
    </row>
    <row r="19" spans="2:19" s="411" customFormat="1" x14ac:dyDescent="0.3">
      <c r="B19" s="869" t="s">
        <v>1890</v>
      </c>
      <c r="C19" s="1943">
        <f>'1. Project Inputs'!C27</f>
        <v>45931</v>
      </c>
      <c r="D19" s="1943"/>
      <c r="E19" s="1943"/>
      <c r="F19" s="1944"/>
      <c r="P19" s="632"/>
      <c r="Q19" s="632"/>
      <c r="R19" s="395"/>
      <c r="S19" s="395"/>
    </row>
    <row r="20" spans="2:19" s="411" customFormat="1" x14ac:dyDescent="0.3">
      <c r="B20" s="876" t="s">
        <v>50</v>
      </c>
      <c r="C20" s="1945">
        <f>'1. Project Inputs'!C29</f>
        <v>30</v>
      </c>
      <c r="D20" s="1946"/>
      <c r="E20" s="1946"/>
      <c r="F20" s="1947"/>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8" t="s">
        <v>2394</v>
      </c>
      <c r="C23" s="1948"/>
      <c r="D23" s="1948"/>
      <c r="E23" s="1948"/>
      <c r="F23" s="1948"/>
      <c r="G23" s="1948"/>
      <c r="H23" s="1948"/>
      <c r="I23" s="1948"/>
      <c r="J23" s="1948"/>
    </row>
    <row r="24" spans="2:19" ht="22" customHeight="1" x14ac:dyDescent="0.3">
      <c r="B24" s="1610" t="s">
        <v>2370</v>
      </c>
      <c r="C24" s="1895" t="s">
        <v>1892</v>
      </c>
      <c r="D24" s="1896"/>
      <c r="E24" s="1896"/>
      <c r="F24" s="1896"/>
      <c r="G24" s="1896"/>
      <c r="H24" s="1897"/>
      <c r="I24" s="1611" t="s">
        <v>3681</v>
      </c>
      <c r="J24" s="1611" t="s">
        <v>1893</v>
      </c>
      <c r="K24" s="1612"/>
      <c r="L24" s="1613"/>
      <c r="S24" s="754"/>
    </row>
    <row r="25" spans="2:19" ht="22" customHeight="1" x14ac:dyDescent="0.3">
      <c r="B25" s="1605" t="s">
        <v>1894</v>
      </c>
      <c r="C25" s="1931"/>
      <c r="D25" s="1931"/>
      <c r="E25" s="1931"/>
      <c r="F25" s="1931"/>
      <c r="G25" s="1593"/>
      <c r="H25" s="1593"/>
      <c r="I25" s="1593"/>
      <c r="J25" s="1593"/>
      <c r="K25" s="1593"/>
      <c r="L25" s="1606"/>
      <c r="S25" s="412"/>
    </row>
    <row r="26" spans="2:19" ht="20" customHeight="1" x14ac:dyDescent="0.3">
      <c r="B26" s="998" t="s">
        <v>109</v>
      </c>
      <c r="C26" s="1976">
        <f>'4. Summary &amp; Totals'!C61</f>
        <v>926835</v>
      </c>
      <c r="D26" s="1977"/>
      <c r="E26" s="1977"/>
      <c r="F26" s="1977"/>
      <c r="G26" s="1977"/>
      <c r="H26" s="1978"/>
      <c r="I26" s="1601"/>
      <c r="J26" s="1989"/>
      <c r="K26" s="1989"/>
      <c r="L26" s="1990"/>
    </row>
    <row r="27" spans="2:19" ht="20" customHeight="1" x14ac:dyDescent="0.3">
      <c r="B27" s="999" t="s">
        <v>1673</v>
      </c>
      <c r="C27" s="1979">
        <f>'4. Summary &amp; Totals'!C37</f>
        <v>0.9968728794390409</v>
      </c>
      <c r="D27" s="1980"/>
      <c r="E27" s="1980"/>
      <c r="F27" s="1980"/>
      <c r="G27" s="1980"/>
      <c r="H27" s="1981"/>
      <c r="I27" s="1599"/>
      <c r="J27" s="1968"/>
      <c r="K27" s="1968"/>
      <c r="L27" s="1969"/>
    </row>
    <row r="28" spans="2:19" ht="20" customHeight="1" x14ac:dyDescent="0.3">
      <c r="B28" s="999" t="s">
        <v>3399</v>
      </c>
      <c r="C28" s="1982" t="s">
        <v>3685</v>
      </c>
      <c r="D28" s="1983"/>
      <c r="E28" s="1983"/>
      <c r="F28" s="1983"/>
      <c r="G28" s="1983"/>
      <c r="H28" s="1984"/>
      <c r="I28" s="1599"/>
      <c r="J28" s="1968"/>
      <c r="K28" s="1968"/>
      <c r="L28" s="1969"/>
    </row>
    <row r="29" spans="2:19" ht="20" customHeight="1" x14ac:dyDescent="0.3">
      <c r="B29" s="1547"/>
      <c r="C29" s="1985" t="s">
        <v>1895</v>
      </c>
      <c r="D29" s="1986"/>
      <c r="E29" s="1986"/>
      <c r="F29" s="1987"/>
      <c r="G29" s="1985" t="s">
        <v>1896</v>
      </c>
      <c r="H29" s="1988"/>
      <c r="I29" s="1600"/>
      <c r="J29" s="1968"/>
      <c r="K29" s="1968"/>
      <c r="L29" s="1969"/>
    </row>
    <row r="30" spans="2:19" ht="20" customHeight="1" x14ac:dyDescent="0.3">
      <c r="B30" s="999" t="s">
        <v>1897</v>
      </c>
      <c r="C30" s="1887">
        <f>'4. Summary &amp; Totals'!C54</f>
        <v>97.887323943661968</v>
      </c>
      <c r="D30" s="1888"/>
      <c r="E30" s="1888"/>
      <c r="F30" s="1889"/>
      <c r="G30" s="1883">
        <f>'2. Roles &amp; Pricing'!F289/'2. Roles &amp; Pricing'!M289</f>
        <v>8.9788732394366202E-2</v>
      </c>
      <c r="H30" s="1884"/>
      <c r="I30" s="1599" t="str">
        <f>IF(OR(C30="",E30=""),"MISSING INFO","")</f>
        <v>MISSING INFO</v>
      </c>
      <c r="J30" s="1968"/>
      <c r="K30" s="1968"/>
      <c r="L30" s="1969"/>
    </row>
    <row r="31" spans="2:19" ht="20" customHeight="1" x14ac:dyDescent="0.3">
      <c r="B31" s="999" t="s">
        <v>1898</v>
      </c>
      <c r="C31" s="1887">
        <f>'4. Summary &amp; Totals'!C86</f>
        <v>177.5</v>
      </c>
      <c r="D31" s="1888"/>
      <c r="E31" s="1888"/>
      <c r="F31" s="1889"/>
      <c r="G31" s="1883">
        <f>SUMIFS('2. Roles &amp; Pricing'!$F$291:$F$390,'2. Roles &amp; Pricing'!$W$48:$W$147,"Onshore")/SUMIFS('2. Roles &amp; Pricing'!$M$291:$M$390,'2. Roles &amp; Pricing'!$W$48:$W$147,"Onshore")</f>
        <v>0.14791666666666667</v>
      </c>
      <c r="H31" s="1884"/>
      <c r="I31" s="1599" t="str">
        <f>IF(OR(C31="",E31=""),"MISSING INFO","")</f>
        <v>MISSING INFO</v>
      </c>
      <c r="J31" s="1968"/>
      <c r="K31" s="1968"/>
      <c r="L31" s="1969"/>
    </row>
    <row r="32" spans="2:19" ht="20" customHeight="1" x14ac:dyDescent="0.3">
      <c r="B32" s="1000" t="s">
        <v>1899</v>
      </c>
      <c r="C32" s="1890">
        <f>'4. Summary &amp; Totals'!C85</f>
        <v>66.666666666666671</v>
      </c>
      <c r="D32" s="1891"/>
      <c r="E32" s="1891"/>
      <c r="F32" s="1892"/>
      <c r="G32" s="1885">
        <f>IFERROR(SUMIFS('2. Roles &amp; Pricing'!$F$291:$F$390,'2. Roles &amp; Pricing'!$W$48:$W$147,"Offshore")/SUMIFS('2. Roles &amp; Pricing'!$M$291:$M$390,'2. Roles &amp; Pricing'!$W$48:$W$147,"Offshore"),"")</f>
        <v>6.699346405228758E-2</v>
      </c>
      <c r="H32" s="1886"/>
      <c r="I32" s="1602"/>
      <c r="J32" s="1893"/>
      <c r="K32" s="1893"/>
      <c r="L32" s="1894"/>
    </row>
    <row r="33" spans="2:12" x14ac:dyDescent="0.3">
      <c r="B33" s="1001"/>
      <c r="C33" s="1001"/>
      <c r="D33" s="1001"/>
      <c r="E33" s="1001"/>
      <c r="F33" s="1001"/>
      <c r="G33" s="1002"/>
      <c r="H33" s="1003"/>
      <c r="I33" s="1003"/>
      <c r="J33" s="1003"/>
    </row>
    <row r="34" spans="2:12" ht="22" customHeight="1" x14ac:dyDescent="0.3">
      <c r="B34" s="1912" t="s">
        <v>1900</v>
      </c>
      <c r="C34" s="1921"/>
      <c r="D34" s="1921"/>
      <c r="E34" s="1921"/>
      <c r="F34" s="1921"/>
      <c r="G34" s="1921"/>
      <c r="H34" s="1921"/>
      <c r="I34" s="1932"/>
      <c r="J34" s="1898"/>
      <c r="K34" s="1899"/>
      <c r="L34" s="1900"/>
    </row>
    <row r="35" spans="2:12" ht="22" customHeight="1" x14ac:dyDescent="0.3">
      <c r="B35" s="1603" t="s">
        <v>1901</v>
      </c>
      <c r="C35" s="1925" t="str">
        <f>'1. Project Inputs'!C28</f>
        <v>T&amp;M</v>
      </c>
      <c r="D35" s="1926"/>
      <c r="E35" s="1926"/>
      <c r="F35" s="1926"/>
      <c r="G35" s="1926"/>
      <c r="H35" s="1927"/>
      <c r="I35" s="1604" t="str">
        <f>IFERROR(IF(VLOOKUP(C35,P75:R78,3,0)=0,"",VLOOKUP(C35,P75:R78,3,0)),"MISSING INFO")</f>
        <v>MISSING INFO</v>
      </c>
      <c r="J35" s="1901"/>
      <c r="K35" s="1902"/>
      <c r="L35" s="1903"/>
    </row>
    <row r="36" spans="2:12" ht="22" customHeight="1" x14ac:dyDescent="0.3">
      <c r="B36" s="1000" t="s">
        <v>1902</v>
      </c>
      <c r="C36" s="1928">
        <f>'4. Summary &amp; Totals'!C56</f>
        <v>0.05</v>
      </c>
      <c r="D36" s="1929"/>
      <c r="E36" s="1929"/>
      <c r="F36" s="1929"/>
      <c r="G36" s="1929"/>
      <c r="H36" s="1930"/>
      <c r="I36" s="1004" t="str">
        <f>IF(C36="","MISSING INFO",IFERROR(IF(C36&lt;VLOOKUP(C35,P75:Q78,2,0),"&lt;"&amp;TEXT(VLOOKUP(C35,P75:Q78,2,0),"0%"),""),"MISSING INFO"))</f>
        <v>MISSING INFO</v>
      </c>
      <c r="J36" s="1964"/>
      <c r="K36" s="1965"/>
      <c r="L36" s="1966"/>
    </row>
    <row r="37" spans="2:12" x14ac:dyDescent="0.3">
      <c r="B37" s="751"/>
      <c r="C37" s="751"/>
      <c r="D37" s="751"/>
      <c r="E37" s="751"/>
      <c r="F37" s="751"/>
      <c r="G37" s="752"/>
      <c r="H37" s="753"/>
      <c r="I37" s="753"/>
      <c r="J37" s="753"/>
    </row>
    <row r="38" spans="2:12" ht="24" customHeight="1" x14ac:dyDescent="0.3">
      <c r="B38" s="1973" t="s">
        <v>1903</v>
      </c>
      <c r="C38" s="1974"/>
      <c r="D38" s="1974"/>
      <c r="E38" s="1974"/>
      <c r="F38" s="1974"/>
      <c r="G38" s="1974"/>
      <c r="H38" s="1974"/>
      <c r="I38" s="1974"/>
      <c r="J38" s="1974"/>
      <c r="K38" s="1974"/>
      <c r="L38" s="1914"/>
    </row>
    <row r="39" spans="2:12" ht="25" customHeight="1" x14ac:dyDescent="0.3">
      <c r="B39" s="998" t="s">
        <v>1904</v>
      </c>
      <c r="C39" s="1991">
        <f>COUNTA('2. Roles &amp; Pricing'!$K$48:$K$147)</f>
        <v>8</v>
      </c>
      <c r="D39" s="1992"/>
      <c r="E39" s="1992"/>
      <c r="F39" s="1992"/>
      <c r="G39" s="1992"/>
      <c r="H39" s="1993"/>
      <c r="I39" s="1005" t="str">
        <f>IF(G39="","MISSING INFO","")</f>
        <v>MISSING INFO</v>
      </c>
      <c r="J39" s="2000"/>
      <c r="K39" s="1989"/>
      <c r="L39" s="1990"/>
    </row>
    <row r="40" spans="2:12" ht="30" customHeight="1" x14ac:dyDescent="0.3">
      <c r="B40" s="999" t="s">
        <v>1905</v>
      </c>
      <c r="C40" s="1994" t="s">
        <v>216</v>
      </c>
      <c r="D40" s="1995"/>
      <c r="E40" s="1995"/>
      <c r="F40" s="1995"/>
      <c r="G40" s="1995"/>
      <c r="H40" s="1996"/>
      <c r="I40" s="997" t="str">
        <f>IFERROR(IF(VLOOKUP(C40,P82:R83,3,0)=0,"",VLOOKUP(C40,P82:R83,3,0)),"MISSING INFO")</f>
        <v>MISSING INFO</v>
      </c>
      <c r="J40" s="1967"/>
      <c r="K40" s="1968"/>
      <c r="L40" s="1969"/>
    </row>
    <row r="41" spans="2:12" ht="14.5" customHeight="1" x14ac:dyDescent="0.3">
      <c r="B41" s="999" t="s">
        <v>1907</v>
      </c>
      <c r="C41" s="1997" t="str">
        <f>IF(SUM(G42:G49)&lt;&gt;0,SUM(G42:G49),"")</f>
        <v/>
      </c>
      <c r="D41" s="1998"/>
      <c r="E41" s="1998"/>
      <c r="F41" s="1998"/>
      <c r="G41" s="1998"/>
      <c r="H41" s="1999"/>
      <c r="I41" s="997" t="str">
        <f>IF(H41="","MISSING INFO",IF(H41&lt;Q85,"&lt;"&amp;TEXT(Q85,"0%"),""))</f>
        <v>MISSING INFO</v>
      </c>
      <c r="J41" s="1967"/>
      <c r="K41" s="1968"/>
      <c r="L41" s="1969"/>
    </row>
    <row r="42" spans="2:12" x14ac:dyDescent="0.3">
      <c r="B42" s="1006"/>
      <c r="C42" s="1906" t="s">
        <v>3400</v>
      </c>
      <c r="D42" s="1907"/>
      <c r="E42" s="1908" t="s">
        <v>119</v>
      </c>
      <c r="F42" s="1909"/>
      <c r="G42" s="1910" t="s">
        <v>1929</v>
      </c>
      <c r="H42" s="1911"/>
      <c r="I42" s="1555"/>
      <c r="J42" s="1967"/>
      <c r="K42" s="1968"/>
      <c r="L42" s="1969"/>
    </row>
    <row r="43" spans="2:12" ht="21" customHeight="1" x14ac:dyDescent="0.3">
      <c r="B43" s="1006"/>
      <c r="C43" s="1557" t="s">
        <v>2101</v>
      </c>
      <c r="D43" s="1557" t="s">
        <v>3401</v>
      </c>
      <c r="E43" s="1557" t="s">
        <v>2101</v>
      </c>
      <c r="F43" s="1557" t="s">
        <v>3401</v>
      </c>
      <c r="G43" s="1557" t="s">
        <v>2101</v>
      </c>
      <c r="H43" s="1557" t="s">
        <v>3401</v>
      </c>
      <c r="I43" s="1555"/>
      <c r="J43" s="1967"/>
      <c r="K43" s="1968"/>
      <c r="L43" s="1969"/>
    </row>
    <row r="44" spans="2:12" ht="21" customHeight="1" x14ac:dyDescent="0.3">
      <c r="B44" s="999" t="s">
        <v>1908</v>
      </c>
      <c r="C44" s="1557"/>
      <c r="D44" s="1557"/>
      <c r="E44" s="1557"/>
      <c r="F44" s="1557"/>
      <c r="G44" s="1557"/>
      <c r="H44" s="1557"/>
      <c r="I44" s="1555"/>
      <c r="J44" s="1967"/>
      <c r="K44" s="1968"/>
      <c r="L44" s="1969"/>
    </row>
    <row r="45" spans="2:12" ht="21" customHeight="1" x14ac:dyDescent="0.3">
      <c r="B45" s="999" t="s">
        <v>3402</v>
      </c>
      <c r="C45" s="1557"/>
      <c r="D45" s="1557"/>
      <c r="E45" s="1557"/>
      <c r="F45" s="1557"/>
      <c r="G45" s="1557"/>
      <c r="H45" s="1557"/>
      <c r="I45" s="1555"/>
      <c r="J45" s="1967"/>
      <c r="K45" s="1968"/>
      <c r="L45" s="1969"/>
    </row>
    <row r="46" spans="2:12" ht="21" customHeight="1" x14ac:dyDescent="0.3">
      <c r="B46" s="999" t="s">
        <v>3403</v>
      </c>
      <c r="C46" s="1557"/>
      <c r="D46" s="1557"/>
      <c r="E46" s="1557"/>
      <c r="F46" s="1557"/>
      <c r="G46" s="1557"/>
      <c r="H46" s="1557"/>
      <c r="I46" s="1555"/>
      <c r="J46" s="1967"/>
      <c r="K46" s="1968"/>
      <c r="L46" s="1969"/>
    </row>
    <row r="47" spans="2:12" ht="21" customHeight="1" x14ac:dyDescent="0.3">
      <c r="B47" s="999" t="s">
        <v>3404</v>
      </c>
      <c r="C47" s="1552"/>
      <c r="D47" s="1552"/>
      <c r="E47" s="1552"/>
      <c r="F47" s="1552"/>
      <c r="G47" s="1553"/>
      <c r="H47" s="1554"/>
      <c r="I47" s="1555"/>
      <c r="J47" s="1967"/>
      <c r="K47" s="1968"/>
      <c r="L47" s="1969"/>
    </row>
    <row r="48" spans="2:12" ht="21" customHeight="1" x14ac:dyDescent="0.3">
      <c r="B48" s="999" t="s">
        <v>3405</v>
      </c>
      <c r="C48" s="1552"/>
      <c r="D48" s="1552"/>
      <c r="E48" s="1552"/>
      <c r="F48" s="1552"/>
      <c r="G48" s="1553"/>
      <c r="H48" s="1554"/>
      <c r="I48" s="1555"/>
      <c r="J48" s="1967"/>
      <c r="K48" s="1968"/>
      <c r="L48" s="1969"/>
    </row>
    <row r="49" spans="2:12" ht="21" customHeight="1" x14ac:dyDescent="0.3">
      <c r="B49" s="999" t="s">
        <v>3406</v>
      </c>
      <c r="C49" s="1552"/>
      <c r="D49" s="1552"/>
      <c r="E49" s="1552"/>
      <c r="F49" s="1552"/>
      <c r="G49" s="1553"/>
      <c r="H49" s="1554"/>
      <c r="I49" s="1555"/>
      <c r="J49" s="1967"/>
      <c r="K49" s="1968"/>
      <c r="L49" s="1969"/>
    </row>
    <row r="50" spans="2:12" ht="45" customHeight="1" x14ac:dyDescent="0.3">
      <c r="B50" s="1000" t="s">
        <v>3407</v>
      </c>
      <c r="C50" s="1548"/>
      <c r="D50" s="1548"/>
      <c r="E50" s="1548"/>
      <c r="F50" s="1548"/>
      <c r="G50" s="1963"/>
      <c r="H50" s="1963"/>
      <c r="I50" s="1556"/>
      <c r="J50" s="1975"/>
      <c r="K50" s="1893"/>
      <c r="L50" s="1894"/>
    </row>
    <row r="51" spans="2:12" x14ac:dyDescent="0.3">
      <c r="B51" s="411"/>
      <c r="C51" s="411"/>
      <c r="D51" s="411"/>
      <c r="E51" s="411"/>
      <c r="F51" s="411"/>
      <c r="G51" s="411"/>
      <c r="H51" s="411"/>
      <c r="I51" s="411"/>
      <c r="J51" s="411"/>
    </row>
    <row r="52" spans="2:12" ht="24" customHeight="1" x14ac:dyDescent="0.3">
      <c r="B52" s="1912" t="s">
        <v>1909</v>
      </c>
      <c r="C52" s="1921"/>
      <c r="D52" s="1921"/>
      <c r="E52" s="1921"/>
      <c r="F52" s="1922"/>
      <c r="G52" s="1559"/>
      <c r="H52" s="1559"/>
      <c r="I52" s="1559"/>
      <c r="J52" s="1559"/>
    </row>
    <row r="53" spans="2:12" ht="45" customHeight="1" x14ac:dyDescent="0.3">
      <c r="B53" s="998" t="s">
        <v>1910</v>
      </c>
      <c r="C53" s="1915" t="s">
        <v>216</v>
      </c>
      <c r="D53" s="1916"/>
      <c r="E53" s="1916"/>
      <c r="F53" s="1917"/>
      <c r="G53" s="1560"/>
      <c r="H53" s="1560"/>
      <c r="I53" s="1561"/>
      <c r="J53" s="1562"/>
    </row>
    <row r="54" spans="2:12" ht="45" customHeight="1" x14ac:dyDescent="0.3">
      <c r="B54" s="1000" t="s">
        <v>1911</v>
      </c>
      <c r="C54" s="1918" t="s">
        <v>216</v>
      </c>
      <c r="D54" s="1919"/>
      <c r="E54" s="1919"/>
      <c r="F54" s="1920"/>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2" t="s">
        <v>1912</v>
      </c>
      <c r="C56" s="1913"/>
      <c r="D56" s="1913"/>
      <c r="E56" s="1913"/>
      <c r="F56" s="1913"/>
      <c r="G56" s="1914"/>
      <c r="H56" s="1559"/>
      <c r="I56" s="1559"/>
      <c r="J56" s="1559"/>
    </row>
    <row r="57" spans="2:12" ht="30" customHeight="1" x14ac:dyDescent="0.3">
      <c r="B57" s="1558" t="s">
        <v>1913</v>
      </c>
      <c r="C57" s="1923" t="s">
        <v>2297</v>
      </c>
      <c r="D57" s="1924"/>
      <c r="E57" s="1924"/>
      <c r="F57" s="1924"/>
      <c r="G57" s="1564" t="str">
        <f>IFERROR(IF(VLOOKUP(C57,P102:R103,3,0)=0,"",VLOOKUP(C57,P102:R103,3,0)),"MISSING INFO")</f>
        <v>MISSING INFO</v>
      </c>
      <c r="H57" s="1560"/>
      <c r="I57" s="1560"/>
      <c r="J57" s="1563"/>
    </row>
    <row r="58" spans="2:12" x14ac:dyDescent="0.3">
      <c r="B58" s="1558" t="s">
        <v>1914</v>
      </c>
      <c r="C58" s="1904" t="s">
        <v>2296</v>
      </c>
      <c r="D58" s="1905"/>
      <c r="E58" s="1905"/>
      <c r="F58" s="1905"/>
      <c r="G58" s="1565" t="str">
        <f>IFERROR(IF(VLOOKUP(C58,P105:R107,3,0)=0,"",VLOOKUP(C58,P105:R107,3,0)),"MISSING INFO")</f>
        <v>MISSING INFO</v>
      </c>
      <c r="H58" s="1560"/>
      <c r="I58" s="1560"/>
      <c r="J58" s="1563"/>
    </row>
    <row r="59" spans="2:12" ht="24" customHeight="1" x14ac:dyDescent="0.3">
      <c r="B59" s="1558" t="s">
        <v>1915</v>
      </c>
      <c r="C59" s="1904" t="s">
        <v>2298</v>
      </c>
      <c r="D59" s="1905"/>
      <c r="E59" s="1905"/>
      <c r="F59" s="1905"/>
      <c r="G59" s="1565" t="str">
        <f>IFERROR(IF(VLOOKUP(C59,P109:R111,3,0)=0,"",VLOOKUP(C59,P109:R111,3,0)),"MISSING INFO")</f>
        <v>MISSING INFO</v>
      </c>
      <c r="H59" s="1560"/>
      <c r="I59" s="1560"/>
      <c r="J59" s="1562"/>
    </row>
    <row r="60" spans="2:12" ht="14" customHeight="1" x14ac:dyDescent="0.3">
      <c r="B60" s="1558" t="s">
        <v>3408</v>
      </c>
      <c r="C60" s="1904" t="s">
        <v>2300</v>
      </c>
      <c r="D60" s="1905"/>
      <c r="E60" s="1905"/>
      <c r="F60" s="1905"/>
      <c r="G60" s="1565" t="str">
        <f>IFERROR(IF(VLOOKUP(C60,P115:R121,3,0)=0,"",VLOOKUP(C60,P115:R121,3,0)),"MISSING INFO")</f>
        <v>MISSING INFO</v>
      </c>
      <c r="H60" s="1560"/>
      <c r="I60" s="1560"/>
      <c r="J60" s="1563"/>
    </row>
    <row r="61" spans="2:12" ht="14" customHeight="1" x14ac:dyDescent="0.3">
      <c r="B61" s="1558" t="s">
        <v>3409</v>
      </c>
      <c r="C61" s="1904" t="s">
        <v>2299</v>
      </c>
      <c r="D61" s="1905"/>
      <c r="E61" s="1905"/>
      <c r="F61" s="1905"/>
      <c r="G61" s="1565" t="str">
        <f>IFERROR(IF(VLOOKUP(C61,P123:R124,3,0)=0,"",VLOOKUP(C61,P123:R124,3,0)),"MISSING INFO")</f>
        <v>MISSING INFO</v>
      </c>
      <c r="H61" s="1560"/>
      <c r="I61" s="1560"/>
      <c r="J61" s="1563"/>
    </row>
    <row r="62" spans="2:12" x14ac:dyDescent="0.3">
      <c r="B62" s="1558" t="s">
        <v>1916</v>
      </c>
      <c r="C62" s="1904" t="s">
        <v>2299</v>
      </c>
      <c r="D62" s="1905"/>
      <c r="E62" s="1905"/>
      <c r="F62" s="1905"/>
      <c r="G62" s="1565"/>
      <c r="H62" s="1560"/>
      <c r="I62" s="1560"/>
      <c r="J62" s="1563"/>
    </row>
    <row r="63" spans="2:12" x14ac:dyDescent="0.3">
      <c r="B63" s="1558" t="s">
        <v>3410</v>
      </c>
      <c r="C63" s="1955" t="s">
        <v>216</v>
      </c>
      <c r="D63" s="1956"/>
      <c r="E63" s="1956"/>
      <c r="F63" s="1956"/>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7" t="s">
        <v>1919</v>
      </c>
      <c r="D67" s="1958"/>
      <c r="E67" s="1958"/>
      <c r="F67" s="1959"/>
      <c r="G67" s="1961" t="s">
        <v>1919</v>
      </c>
      <c r="H67" s="1961"/>
      <c r="I67" s="1961"/>
      <c r="J67" s="1962"/>
    </row>
    <row r="68" spans="2:18" ht="42" customHeight="1" x14ac:dyDescent="0.3">
      <c r="B68" s="1160" t="str" cm="1">
        <f t="array" ref="B68">IF(COUNTIF(I26:I61,"="&amp;"MISSING INFO")&gt;0,P143,IF(SUMPRODUCT(--(LEN(I26:I61)))&gt;0,P141,P142))</f>
        <v>Missing Information</v>
      </c>
      <c r="C68" s="1549"/>
      <c r="D68" s="1549"/>
      <c r="E68" s="1549"/>
      <c r="F68" s="1549"/>
      <c r="G68" s="1970" t="str">
        <f>VLOOKUP(B68,P141:Q143,2,0)</f>
        <v>Complete all required fields above to clear all "MISSING INFO" error messages.</v>
      </c>
      <c r="H68" s="1971"/>
      <c r="I68" s="1971"/>
      <c r="J68" s="1972"/>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60" t="s">
        <v>1901</v>
      </c>
      <c r="Q73" s="1960"/>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60" t="s">
        <v>1909</v>
      </c>
      <c r="Q88" s="1960"/>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3411</v>
      </c>
      <c r="Q126" s="129"/>
      <c r="R126" s="120"/>
    </row>
    <row r="127" spans="2:18" s="395" customFormat="1" x14ac:dyDescent="0.3">
      <c r="P127" s="129" t="s">
        <v>3412</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5"/>
      <c r="X1" s="2035"/>
      <c r="Y1" s="2035"/>
    </row>
    <row r="2" spans="1:25" s="469" customFormat="1" ht="20.25" customHeight="1" x14ac:dyDescent="0.3">
      <c r="C2" s="818" t="s">
        <v>2306</v>
      </c>
      <c r="D2" s="698"/>
      <c r="E2" s="698"/>
      <c r="F2" s="699"/>
      <c r="G2" s="700"/>
      <c r="H2" s="700"/>
      <c r="I2" s="700"/>
      <c r="J2" s="700"/>
      <c r="L2" s="1715"/>
      <c r="M2" s="1715"/>
      <c r="N2" s="1715"/>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6" t="s">
        <v>3261</v>
      </c>
      <c r="D5" s="2036"/>
      <c r="E5" s="2036"/>
      <c r="F5" s="2036"/>
      <c r="G5" s="1470"/>
      <c r="H5" s="1470"/>
      <c r="I5" s="1470"/>
      <c r="J5" s="1470"/>
      <c r="L5" s="805"/>
      <c r="M5" s="805"/>
      <c r="N5" s="805"/>
      <c r="O5" s="1471"/>
      <c r="P5" s="1471"/>
      <c r="Q5" s="1471"/>
      <c r="R5" s="1471"/>
      <c r="W5" s="1072"/>
      <c r="X5" s="1073"/>
      <c r="Y5" s="1073"/>
    </row>
    <row r="6" spans="1:25" s="812" customFormat="1" ht="20" customHeight="1" x14ac:dyDescent="0.35">
      <c r="C6" s="2033" t="s">
        <v>3262</v>
      </c>
      <c r="D6" s="2033"/>
      <c r="E6" s="2033"/>
      <c r="F6" s="2033"/>
      <c r="G6" s="815"/>
      <c r="H6" s="815"/>
      <c r="I6" s="815"/>
      <c r="J6" s="815"/>
      <c r="L6" s="805"/>
      <c r="M6" s="805"/>
      <c r="N6" s="805"/>
      <c r="O6" s="816"/>
      <c r="P6" s="816"/>
      <c r="Q6" s="816"/>
      <c r="R6" s="816"/>
      <c r="W6" s="1072"/>
      <c r="X6" s="1073"/>
      <c r="Y6" s="1073"/>
    </row>
    <row r="7" spans="1:25" s="812" customFormat="1" ht="20" customHeight="1" x14ac:dyDescent="0.35">
      <c r="C7" s="2034" t="s">
        <v>2274</v>
      </c>
      <c r="D7" s="2034"/>
      <c r="E7" s="2034"/>
      <c r="F7" s="2034"/>
      <c r="G7" s="815"/>
      <c r="H7" s="815"/>
      <c r="I7" s="815"/>
      <c r="J7" s="815"/>
      <c r="L7" s="805"/>
      <c r="M7" s="805"/>
      <c r="N7" s="805"/>
      <c r="O7" s="816"/>
      <c r="P7" s="816"/>
      <c r="Q7" s="816"/>
      <c r="R7" s="816"/>
      <c r="W7" s="1072"/>
      <c r="X7" s="1073"/>
      <c r="Y7" s="1073"/>
    </row>
    <row r="8" spans="1:25" s="812" customFormat="1" ht="29.5" customHeight="1" x14ac:dyDescent="0.35">
      <c r="C8" s="2034" t="s">
        <v>2275</v>
      </c>
      <c r="D8" s="2034"/>
      <c r="E8" s="2034"/>
      <c r="F8" s="2034"/>
      <c r="G8" s="815"/>
      <c r="H8" s="815"/>
      <c r="I8" s="815"/>
      <c r="J8" s="815"/>
      <c r="L8" s="805"/>
      <c r="M8" s="805"/>
      <c r="N8" s="805"/>
      <c r="O8" s="816"/>
      <c r="P8" s="816"/>
      <c r="Q8" s="816"/>
      <c r="R8" s="816"/>
      <c r="W8" s="1072"/>
      <c r="X8" s="1073"/>
      <c r="Y8" s="1073"/>
    </row>
    <row r="9" spans="1:25" s="812" customFormat="1" ht="29.5" customHeight="1" x14ac:dyDescent="0.35">
      <c r="C9" s="2034" t="s">
        <v>3263</v>
      </c>
      <c r="D9" s="2034"/>
      <c r="E9" s="2034"/>
      <c r="F9" s="2034"/>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6"/>
      <c r="N11" s="2016"/>
      <c r="O11" s="663"/>
      <c r="P11" s="663"/>
      <c r="Q11" s="663"/>
      <c r="R11" s="663"/>
      <c r="S11" s="475"/>
      <c r="T11" s="475"/>
      <c r="U11" s="475"/>
      <c r="W11" s="1074"/>
      <c r="X11" s="1075"/>
      <c r="Y11" s="1075"/>
    </row>
    <row r="12" spans="1:25" ht="20.5" customHeight="1" x14ac:dyDescent="0.3">
      <c r="C12" s="1472" t="s">
        <v>3264</v>
      </c>
      <c r="D12" s="659"/>
      <c r="E12" s="659"/>
      <c r="G12" s="395"/>
      <c r="H12" s="395"/>
      <c r="I12" s="395"/>
      <c r="J12" s="395"/>
      <c r="L12" s="664"/>
      <c r="M12" s="2032"/>
      <c r="N12" s="2032"/>
      <c r="O12" s="660"/>
      <c r="P12" s="660"/>
      <c r="Q12" s="660"/>
      <c r="R12" s="660"/>
      <c r="W12" s="1074"/>
      <c r="X12" s="1075"/>
      <c r="Y12" s="1075"/>
    </row>
    <row r="13" spans="1:25" ht="17.5" x14ac:dyDescent="0.3">
      <c r="C13" s="2029" t="s">
        <v>2199</v>
      </c>
      <c r="D13" s="2030"/>
      <c r="E13" s="395"/>
      <c r="F13" s="2021"/>
      <c r="G13" s="2021"/>
      <c r="H13" s="665"/>
      <c r="I13" s="665"/>
      <c r="J13" s="665"/>
      <c r="K13" s="484"/>
      <c r="L13" s="664"/>
      <c r="M13" s="2032"/>
      <c r="N13" s="2032"/>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2"/>
      <c r="N14" s="2032"/>
      <c r="O14" s="666"/>
      <c r="P14" s="666"/>
      <c r="Q14" s="666"/>
      <c r="R14" s="666"/>
      <c r="S14" s="413"/>
      <c r="T14" s="413"/>
      <c r="U14" s="667"/>
      <c r="V14" s="667"/>
      <c r="W14" s="1077"/>
      <c r="X14" s="2031"/>
      <c r="Y14" s="2031"/>
    </row>
    <row r="15" spans="1:25" ht="18" customHeight="1" x14ac:dyDescent="0.3">
      <c r="C15" s="867" t="s">
        <v>17</v>
      </c>
      <c r="D15" s="991" t="str">
        <f>'1. Project Inputs'!C18</f>
        <v>C Spire</v>
      </c>
      <c r="F15" s="2001"/>
      <c r="G15" s="411"/>
      <c r="H15" s="411"/>
      <c r="I15" s="411"/>
      <c r="J15" s="411"/>
      <c r="K15" s="671"/>
      <c r="L15" s="672"/>
      <c r="M15" s="2032"/>
      <c r="N15" s="2032"/>
      <c r="O15" s="673"/>
      <c r="P15" s="673"/>
      <c r="Q15" s="673"/>
      <c r="R15" s="673"/>
      <c r="S15" s="413"/>
      <c r="T15" s="413"/>
      <c r="U15" s="2020"/>
      <c r="V15" s="411"/>
      <c r="W15" s="399"/>
    </row>
    <row r="16" spans="1:25" ht="18" customHeight="1" x14ac:dyDescent="0.3">
      <c r="C16" s="867" t="s">
        <v>47</v>
      </c>
      <c r="D16" s="1021" t="str">
        <f>'1. Project Inputs'!C19</f>
        <v>TA Digital</v>
      </c>
      <c r="F16" s="2001"/>
      <c r="G16" s="411"/>
      <c r="H16" s="411"/>
      <c r="I16" s="411"/>
      <c r="J16" s="411"/>
      <c r="K16" s="671"/>
      <c r="L16" s="671"/>
      <c r="M16" s="641"/>
      <c r="N16" s="647"/>
      <c r="O16" s="673"/>
      <c r="P16" s="673"/>
      <c r="Q16" s="673"/>
      <c r="R16" s="673"/>
      <c r="S16" s="413"/>
      <c r="T16" s="413"/>
      <c r="U16" s="2020"/>
      <c r="V16" s="411"/>
      <c r="W16" s="399"/>
    </row>
    <row r="17" spans="3:23" ht="17.25" customHeight="1" x14ac:dyDescent="0.3">
      <c r="C17" s="867" t="s">
        <v>48</v>
      </c>
      <c r="D17" s="991" t="str">
        <f>'1. Project Inputs'!C20</f>
        <v>No</v>
      </c>
      <c r="F17" s="2001"/>
      <c r="G17" s="411"/>
      <c r="H17" s="411"/>
      <c r="I17" s="411"/>
      <c r="J17" s="411"/>
      <c r="K17" s="671"/>
      <c r="L17" s="671"/>
      <c r="M17" s="641"/>
      <c r="N17" s="647"/>
      <c r="O17" s="673"/>
      <c r="P17" s="673"/>
      <c r="Q17" s="673"/>
      <c r="R17" s="673"/>
      <c r="S17" s="413"/>
      <c r="T17" s="413"/>
      <c r="U17" s="2020"/>
      <c r="V17" s="411"/>
      <c r="W17" s="399"/>
    </row>
    <row r="18" spans="3:23" ht="16" customHeight="1" x14ac:dyDescent="0.3">
      <c r="C18" s="962" t="s">
        <v>2064</v>
      </c>
      <c r="D18" s="991">
        <f>'1. Project Inputs'!C22</f>
        <v>1324</v>
      </c>
      <c r="E18" s="519"/>
      <c r="F18" s="2001"/>
      <c r="G18" s="411"/>
      <c r="H18" s="411"/>
      <c r="I18" s="411"/>
      <c r="J18" s="411"/>
      <c r="K18" s="671"/>
      <c r="L18" s="671"/>
      <c r="M18" s="641"/>
      <c r="N18" s="647"/>
      <c r="O18" s="673"/>
      <c r="P18" s="673"/>
      <c r="Q18" s="673"/>
      <c r="R18" s="673"/>
      <c r="S18" s="413"/>
      <c r="T18" s="413"/>
      <c r="U18" s="2020"/>
      <c r="V18" s="411"/>
      <c r="W18" s="399"/>
    </row>
    <row r="19" spans="3:23" ht="16" customHeight="1" x14ac:dyDescent="0.3">
      <c r="C19" s="962" t="s">
        <v>22</v>
      </c>
      <c r="D19" s="991" t="str">
        <f>'1. Project Inputs'!C23</f>
        <v>AEM implementation for MathCodeInc</v>
      </c>
      <c r="E19" s="519"/>
      <c r="F19" s="2001"/>
      <c r="G19" s="411"/>
      <c r="H19" s="411"/>
      <c r="I19" s="411"/>
      <c r="J19" s="411"/>
      <c r="K19" s="671"/>
      <c r="L19" s="671"/>
      <c r="M19" s="641"/>
      <c r="N19" s="647"/>
      <c r="O19" s="673"/>
      <c r="P19" s="673"/>
      <c r="Q19" s="673"/>
      <c r="R19" s="673"/>
      <c r="S19" s="413"/>
      <c r="T19" s="413"/>
      <c r="U19" s="2020"/>
      <c r="V19" s="411"/>
      <c r="W19" s="399"/>
    </row>
    <row r="20" spans="3:23" ht="16" customHeight="1" x14ac:dyDescent="0.3">
      <c r="C20" s="962" t="s">
        <v>23</v>
      </c>
      <c r="D20" s="1021" t="str">
        <f>'1. Project Inputs'!C24</f>
        <v>Digital - Systems Implementation</v>
      </c>
      <c r="E20" s="519"/>
      <c r="F20" s="2001"/>
      <c r="G20" s="411"/>
      <c r="H20" s="411"/>
      <c r="I20" s="411"/>
      <c r="J20" s="411"/>
      <c r="K20" s="671"/>
      <c r="L20" s="671"/>
      <c r="M20" s="641"/>
      <c r="N20" s="675"/>
      <c r="O20" s="676"/>
      <c r="P20" s="676"/>
      <c r="Q20" s="676"/>
      <c r="R20" s="676"/>
      <c r="S20" s="413"/>
      <c r="T20" s="413"/>
      <c r="U20" s="2020"/>
      <c r="V20" s="411"/>
      <c r="W20" s="399"/>
    </row>
    <row r="21" spans="3:23" ht="16" customHeight="1" x14ac:dyDescent="0.3">
      <c r="C21" s="962" t="s">
        <v>49</v>
      </c>
      <c r="D21" s="1021" t="str">
        <f>'1. Project Inputs'!C25</f>
        <v>Standard Rates</v>
      </c>
      <c r="E21" s="519"/>
      <c r="F21" s="2001"/>
      <c r="G21" s="411"/>
      <c r="H21" s="411"/>
      <c r="I21" s="411"/>
      <c r="J21" s="411"/>
      <c r="K21" s="671"/>
      <c r="L21" s="671"/>
      <c r="M21" s="641"/>
      <c r="N21" s="677"/>
      <c r="O21" s="678"/>
      <c r="P21" s="678"/>
      <c r="Q21" s="678"/>
      <c r="R21" s="678"/>
      <c r="S21" s="413"/>
      <c r="T21" s="413"/>
      <c r="U21" s="2020"/>
      <c r="V21" s="411"/>
      <c r="W21" s="399"/>
    </row>
    <row r="22" spans="3:23" ht="31" customHeight="1" x14ac:dyDescent="0.3">
      <c r="C22" s="1022" t="s">
        <v>25</v>
      </c>
      <c r="D22" s="1021" t="str">
        <f>IF(ISBLANK('1. Project Inputs'!C26)," ",'1. Project Inputs'!C26)</f>
        <v xml:space="preserve"> </v>
      </c>
      <c r="F22" s="2001"/>
      <c r="G22" s="411"/>
      <c r="H22" s="411"/>
      <c r="I22" s="411"/>
      <c r="J22" s="411"/>
      <c r="K22" s="671"/>
      <c r="L22" s="671"/>
      <c r="M22" s="641"/>
      <c r="N22" s="677"/>
      <c r="O22" s="679"/>
      <c r="P22" s="679"/>
      <c r="Q22" s="679"/>
      <c r="R22" s="679"/>
      <c r="S22" s="413"/>
      <c r="T22" s="413"/>
      <c r="U22" s="2020"/>
      <c r="V22" s="411"/>
      <c r="W22" s="399"/>
    </row>
    <row r="23" spans="3:23" ht="16" customHeight="1" x14ac:dyDescent="0.3">
      <c r="C23" s="867" t="s">
        <v>26</v>
      </c>
      <c r="D23" s="1023">
        <f>'1. Project Inputs'!C27</f>
        <v>45931</v>
      </c>
      <c r="F23" s="2001"/>
      <c r="G23" s="411"/>
      <c r="H23" s="411"/>
      <c r="I23" s="411"/>
      <c r="J23" s="411"/>
      <c r="K23" s="671"/>
      <c r="L23" s="671"/>
      <c r="M23" s="641"/>
      <c r="N23" s="680"/>
      <c r="O23" s="673"/>
      <c r="P23" s="673"/>
      <c r="Q23" s="673"/>
      <c r="R23" s="673"/>
      <c r="S23" s="413"/>
      <c r="T23" s="413"/>
      <c r="U23" s="2020"/>
      <c r="V23" s="411"/>
      <c r="W23" s="399"/>
    </row>
    <row r="24" spans="3:23" ht="17.25" customHeight="1" x14ac:dyDescent="0.3">
      <c r="C24" s="867" t="s">
        <v>50</v>
      </c>
      <c r="D24" s="1024">
        <f>'1. Project Inputs'!C29</f>
        <v>30</v>
      </c>
      <c r="E24" s="681"/>
      <c r="F24" s="2001"/>
      <c r="G24" s="411"/>
      <c r="H24" s="411"/>
      <c r="I24" s="411"/>
      <c r="J24" s="411"/>
      <c r="K24" s="671"/>
      <c r="L24" s="671"/>
      <c r="M24" s="641"/>
      <c r="N24" s="505"/>
      <c r="O24" s="505"/>
      <c r="P24" s="505"/>
      <c r="Q24" s="505"/>
      <c r="R24" s="505"/>
      <c r="S24" s="413"/>
      <c r="T24" s="413"/>
      <c r="U24" s="2020"/>
      <c r="V24" s="411"/>
      <c r="W24" s="399"/>
    </row>
    <row r="25" spans="3:23" ht="15" x14ac:dyDescent="0.3">
      <c r="C25" s="867" t="s">
        <v>27</v>
      </c>
      <c r="D25" s="1024" t="str">
        <f>'1. Project Inputs'!C28</f>
        <v>T&amp;M</v>
      </c>
      <c r="E25" s="681"/>
      <c r="F25" s="2001"/>
      <c r="G25" s="411"/>
      <c r="H25" s="411"/>
      <c r="I25" s="411"/>
      <c r="J25" s="411"/>
      <c r="K25" s="671"/>
      <c r="L25" s="671"/>
      <c r="M25" s="641"/>
      <c r="N25" s="505"/>
      <c r="O25" s="505"/>
      <c r="P25" s="505"/>
      <c r="Q25" s="505"/>
      <c r="R25" s="505"/>
      <c r="S25" s="413"/>
      <c r="T25" s="413"/>
      <c r="U25" s="2020"/>
      <c r="V25" s="411"/>
      <c r="W25" s="399"/>
    </row>
    <row r="26" spans="3:23" ht="19" customHeight="1" x14ac:dyDescent="0.3">
      <c r="C26" s="962" t="s">
        <v>16</v>
      </c>
      <c r="D26" s="1473" t="str">
        <f>IF(ISBLANK('1. Project Inputs'!G17),"",'1. Project Inputs'!G17)</f>
        <v/>
      </c>
      <c r="E26" s="681"/>
      <c r="F26" s="2001"/>
      <c r="G26" s="411"/>
      <c r="H26" s="411"/>
      <c r="I26" s="411"/>
      <c r="J26" s="411"/>
      <c r="K26" s="671"/>
      <c r="L26" s="671"/>
      <c r="M26" s="641"/>
      <c r="N26" s="505"/>
      <c r="O26" s="505"/>
      <c r="P26" s="505"/>
      <c r="Q26" s="505"/>
      <c r="R26" s="505"/>
      <c r="S26" s="413"/>
      <c r="T26" s="413"/>
      <c r="U26" s="2020"/>
      <c r="V26" s="411"/>
      <c r="W26" s="399"/>
    </row>
    <row r="27" spans="3:23" ht="18" customHeight="1" x14ac:dyDescent="0.3">
      <c r="C27" s="962" t="s">
        <v>18</v>
      </c>
      <c r="D27" s="1473" t="str">
        <f>IF(ISBLANK('1. Project Inputs'!G18),"",'1. Project Inputs'!G18)</f>
        <v/>
      </c>
      <c r="E27" s="681"/>
      <c r="F27" s="2001"/>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2001"/>
      <c r="G28" s="411"/>
      <c r="H28" s="430"/>
      <c r="I28" s="430"/>
      <c r="J28" s="430"/>
      <c r="K28" s="682"/>
      <c r="L28" s="682"/>
      <c r="U28" s="674"/>
      <c r="V28" s="411"/>
      <c r="W28" s="399"/>
    </row>
    <row r="29" spans="3:23" ht="7" customHeight="1" x14ac:dyDescent="0.3">
      <c r="C29" s="683"/>
      <c r="D29" s="684"/>
      <c r="E29" s="681"/>
      <c r="F29" s="2001"/>
      <c r="G29" s="411"/>
      <c r="H29" s="430"/>
      <c r="I29" s="430"/>
      <c r="J29" s="430"/>
      <c r="K29" s="682"/>
      <c r="L29" s="682"/>
      <c r="U29" s="674"/>
      <c r="V29" s="411"/>
      <c r="W29" s="399"/>
    </row>
    <row r="30" spans="3:23" ht="15" x14ac:dyDescent="0.3">
      <c r="C30" s="1026" t="s">
        <v>2202</v>
      </c>
      <c r="E30" s="681"/>
      <c r="F30" s="2001"/>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2001"/>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2001"/>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2001"/>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2001"/>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8" t="s">
        <v>51</v>
      </c>
      <c r="C59" s="2010" t="s">
        <v>52</v>
      </c>
      <c r="D59" s="2012" t="s">
        <v>53</v>
      </c>
      <c r="E59" s="2014" t="s">
        <v>54</v>
      </c>
      <c r="F59" s="2022" t="s">
        <v>55</v>
      </c>
      <c r="G59" s="2012" t="s">
        <v>56</v>
      </c>
      <c r="H59" s="1399"/>
      <c r="I59" s="1399"/>
      <c r="J59" s="1399"/>
      <c r="K59" s="2012" t="s">
        <v>57</v>
      </c>
      <c r="L59" s="2002" t="s">
        <v>58</v>
      </c>
      <c r="M59" s="2005" t="s">
        <v>59</v>
      </c>
      <c r="N59" s="2006"/>
      <c r="O59" s="2006"/>
      <c r="P59" s="2005" t="s">
        <v>60</v>
      </c>
      <c r="Q59" s="2006"/>
      <c r="R59" s="2007"/>
      <c r="S59" s="2024" t="s">
        <v>61</v>
      </c>
      <c r="T59" s="2024" t="s">
        <v>62</v>
      </c>
    </row>
    <row r="60" spans="2:23" ht="21" customHeight="1" x14ac:dyDescent="0.3">
      <c r="B60" s="2009"/>
      <c r="C60" s="2011"/>
      <c r="D60" s="2013"/>
      <c r="E60" s="2015"/>
      <c r="F60" s="2023"/>
      <c r="G60" s="2013"/>
      <c r="H60" s="1400"/>
      <c r="I60" s="1400"/>
      <c r="J60" s="1400"/>
      <c r="K60" s="2013"/>
      <c r="L60" s="2003"/>
      <c r="M60" s="2026" t="str">
        <f>'1. Project Inputs'!C64</f>
        <v>Enter Option 1 Name</v>
      </c>
      <c r="N60" s="2026" t="str">
        <f>'1. Project Inputs'!C65</f>
        <v>Enter Option 2 Name</v>
      </c>
      <c r="O60" s="2026" t="str">
        <f>'1. Project Inputs'!C66</f>
        <v>Enter Option 3 Name</v>
      </c>
      <c r="P60" s="690"/>
      <c r="Q60" s="690"/>
      <c r="R60" s="690"/>
      <c r="S60" s="2025"/>
      <c r="T60" s="2025"/>
    </row>
    <row r="61" spans="2:23" ht="44.5" customHeight="1" thickBot="1" x14ac:dyDescent="0.35">
      <c r="B61" s="109"/>
      <c r="C61" s="691"/>
      <c r="D61" s="692"/>
      <c r="E61" s="693"/>
      <c r="F61" s="694"/>
      <c r="G61" s="692"/>
      <c r="H61" s="692"/>
      <c r="I61" s="692"/>
      <c r="J61" s="692"/>
      <c r="K61" s="692"/>
      <c r="L61" s="2004"/>
      <c r="M61" s="2027"/>
      <c r="N61" s="2027"/>
      <c r="O61" s="2027"/>
      <c r="P61" s="695"/>
      <c r="Q61" s="695"/>
      <c r="R61" s="695"/>
      <c r="S61" s="696"/>
      <c r="T61" s="2028"/>
    </row>
    <row r="62" spans="2:23" ht="14.5" hidden="1" thickBot="1" x14ac:dyDescent="0.35">
      <c r="C62" s="395" t="s">
        <v>3256</v>
      </c>
      <c r="D62" s="395" t="s">
        <v>3257</v>
      </c>
      <c r="E62" s="632" t="s">
        <v>3258</v>
      </c>
      <c r="F62" s="633" t="s">
        <v>3259</v>
      </c>
      <c r="G62" s="634" t="s">
        <v>68</v>
      </c>
      <c r="H62" s="634" t="s">
        <v>2345</v>
      </c>
      <c r="I62" s="634" t="s">
        <v>2346</v>
      </c>
      <c r="J62" s="634" t="s">
        <v>2347</v>
      </c>
      <c r="K62" s="395" t="s">
        <v>30</v>
      </c>
      <c r="L62" s="395" t="s">
        <v>3260</v>
      </c>
      <c r="M62" s="635" t="s">
        <v>43</v>
      </c>
      <c r="N62" s="506" t="s">
        <v>44</v>
      </c>
      <c r="O62" s="506" t="s">
        <v>45</v>
      </c>
      <c r="P62" s="506" t="s">
        <v>3252</v>
      </c>
      <c r="Q62" s="506" t="s">
        <v>3253</v>
      </c>
      <c r="R62" s="506" t="s">
        <v>3254</v>
      </c>
      <c r="S62" s="395" t="s">
        <v>76</v>
      </c>
      <c r="T62" s="395" t="s">
        <v>3255</v>
      </c>
    </row>
    <row r="63" spans="2:23" ht="14.5" thickTop="1" x14ac:dyDescent="0.3">
      <c r="B63" s="658"/>
      <c r="C63" s="1054" t="s">
        <v>3178</v>
      </c>
      <c r="D63" s="1055" t="s">
        <v>3227</v>
      </c>
      <c r="E63" s="1056" t="s">
        <v>3228</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3269</v>
      </c>
      <c r="E64" s="1165" t="s">
        <v>3271</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3270</v>
      </c>
      <c r="E65" s="1016" t="s">
        <v>3272</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3273</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3274</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3275</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3276</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3277</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3278</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3279</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3280</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3273</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7" t="s">
        <v>79</v>
      </c>
      <c r="D128" s="2018"/>
      <c r="E128" s="2019"/>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3265</v>
      </c>
      <c r="G145" s="640"/>
      <c r="H145" s="640"/>
      <c r="I145" s="640"/>
      <c r="J145" s="640"/>
      <c r="K145" s="413"/>
      <c r="L145" s="413"/>
      <c r="M145" s="641"/>
      <c r="N145" s="505"/>
      <c r="O145" s="505"/>
      <c r="P145" s="505"/>
      <c r="Q145" s="505"/>
      <c r="R145" s="505"/>
      <c r="S145" s="413"/>
      <c r="T145" s="413"/>
    </row>
    <row r="146" spans="3:20" ht="15" x14ac:dyDescent="0.3">
      <c r="C146" s="2017" t="s">
        <v>83</v>
      </c>
      <c r="D146" s="2018"/>
      <c r="E146" s="2018"/>
      <c r="F146" s="2019"/>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9" t="s">
        <v>2303</v>
      </c>
      <c r="C7" s="2039"/>
      <c r="D7" s="2039"/>
      <c r="E7" s="2039"/>
      <c r="F7" s="2039"/>
      <c r="G7" s="2039"/>
      <c r="H7" s="2039"/>
      <c r="I7" s="2039"/>
      <c r="J7" s="2039"/>
      <c r="K7" s="395"/>
      <c r="L7" s="395"/>
      <c r="N7" s="395"/>
      <c r="O7" s="395"/>
      <c r="P7" s="395"/>
      <c r="Q7" s="395"/>
      <c r="R7" s="395"/>
    </row>
    <row r="8" spans="2:18" ht="14.25" customHeight="1" x14ac:dyDescent="0.3">
      <c r="B8" s="2040" t="s">
        <v>3267</v>
      </c>
      <c r="C8" s="2040"/>
      <c r="D8" s="2040"/>
      <c r="E8" s="2040"/>
      <c r="F8" s="2040"/>
      <c r="G8" s="2040"/>
      <c r="H8" s="2040"/>
      <c r="I8" s="2040"/>
      <c r="J8" s="2040"/>
      <c r="K8" s="395"/>
      <c r="L8" s="395"/>
      <c r="N8" s="395"/>
      <c r="O8" s="395"/>
      <c r="P8" s="395"/>
      <c r="Q8" s="395"/>
      <c r="R8" s="395"/>
    </row>
    <row r="9" spans="2:18" x14ac:dyDescent="0.3">
      <c r="B9" s="1731" t="s">
        <v>3268</v>
      </c>
      <c r="C9" s="1731"/>
      <c r="D9" s="1731"/>
      <c r="E9" s="1731"/>
      <c r="F9" s="1731"/>
      <c r="G9" s="1731"/>
      <c r="H9" s="1731"/>
      <c r="I9" s="1731"/>
      <c r="J9" s="1731"/>
      <c r="K9" s="395"/>
      <c r="L9" s="395"/>
      <c r="N9" s="395"/>
      <c r="O9" s="395"/>
      <c r="P9" s="395"/>
      <c r="Q9" s="395"/>
      <c r="R9" s="395"/>
    </row>
    <row r="10" spans="2:18" x14ac:dyDescent="0.3">
      <c r="B10" s="1731" t="s">
        <v>89</v>
      </c>
      <c r="C10" s="1731"/>
      <c r="D10" s="1731"/>
      <c r="E10" s="1731"/>
      <c r="F10" s="1731"/>
      <c r="G10" s="1731"/>
      <c r="H10" s="1731"/>
      <c r="I10" s="1731"/>
      <c r="J10" s="1731"/>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7" t="s">
        <v>90</v>
      </c>
      <c r="D12" s="2038"/>
      <c r="E12" s="395"/>
      <c r="F12" s="395"/>
      <c r="G12" s="1475"/>
      <c r="H12" s="413"/>
      <c r="I12" s="2037" t="s">
        <v>91</v>
      </c>
      <c r="J12" s="2038"/>
      <c r="K12" s="395"/>
      <c r="L12" s="395"/>
      <c r="M12" s="1475"/>
      <c r="N12" s="413"/>
      <c r="O12" s="2037" t="s">
        <v>92</v>
      </c>
      <c r="P12" s="2038"/>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3266</v>
      </c>
      <c r="D14" s="1476">
        <f>'1. Project Inputs'!$C$27</f>
        <v>45931</v>
      </c>
      <c r="E14" s="395"/>
      <c r="F14" s="395"/>
      <c r="G14" s="1475"/>
      <c r="H14" s="413"/>
      <c r="I14" s="1084" t="s">
        <v>3266</v>
      </c>
      <c r="J14" s="1476">
        <f>'1. Project Inputs'!$C$27</f>
        <v>45931</v>
      </c>
      <c r="K14" s="395"/>
      <c r="L14" s="395"/>
      <c r="M14" s="1475"/>
      <c r="N14" s="413"/>
      <c r="O14" s="1084" t="s">
        <v>3266</v>
      </c>
      <c r="P14" s="1476">
        <f>'1. Project Inputs'!$C$27</f>
        <v>45931</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3256</v>
      </c>
      <c r="D20" s="1506" t="s">
        <v>3258</v>
      </c>
      <c r="E20" s="1501" t="s">
        <v>82</v>
      </c>
      <c r="F20" s="395"/>
      <c r="G20" s="1475"/>
      <c r="H20" s="395"/>
      <c r="I20" s="1502" t="s">
        <v>3256</v>
      </c>
      <c r="J20" s="1506" t="s">
        <v>3258</v>
      </c>
      <c r="K20" s="1501" t="s">
        <v>82</v>
      </c>
      <c r="L20" s="395"/>
      <c r="M20" s="1475"/>
      <c r="N20" s="413"/>
      <c r="O20" s="1502" t="s">
        <v>3256</v>
      </c>
      <c r="P20" s="1506" t="s">
        <v>3258</v>
      </c>
      <c r="Q20" s="1501" t="s">
        <v>82</v>
      </c>
      <c r="R20" s="395"/>
    </row>
    <row r="21" spans="2:18" x14ac:dyDescent="0.3">
      <c r="B21" s="413"/>
      <c r="C21" s="4" t="s">
        <v>3178</v>
      </c>
      <c r="D21" s="2" t="s">
        <v>3228</v>
      </c>
      <c r="E21" s="1504">
        <v>23</v>
      </c>
      <c r="F21" s="395"/>
      <c r="G21" s="1475"/>
      <c r="H21" s="395"/>
      <c r="I21" s="569" t="s">
        <v>3178</v>
      </c>
      <c r="J21" s="2" t="s">
        <v>3228</v>
      </c>
      <c r="K21" s="1504">
        <v>23</v>
      </c>
      <c r="L21" s="395"/>
      <c r="M21" s="1475"/>
      <c r="N21" s="413"/>
      <c r="O21" s="569" t="s">
        <v>3178</v>
      </c>
      <c r="P21" s="2" t="s">
        <v>3228</v>
      </c>
      <c r="Q21" s="1504">
        <v>0</v>
      </c>
      <c r="R21" s="395"/>
    </row>
    <row r="22" spans="2:18" x14ac:dyDescent="0.3">
      <c r="B22" s="413"/>
      <c r="D22" s="2" t="s">
        <v>3273</v>
      </c>
      <c r="E22" s="1505">
        <v>0</v>
      </c>
      <c r="F22" s="395"/>
      <c r="G22" s="1475"/>
      <c r="H22" s="395"/>
      <c r="I22" s="569"/>
      <c r="J22" s="2" t="s">
        <v>3273</v>
      </c>
      <c r="K22" s="1505">
        <v>0</v>
      </c>
      <c r="L22" s="395"/>
      <c r="M22" s="1475"/>
      <c r="N22" s="413"/>
      <c r="O22" s="569"/>
      <c r="P22" s="2" t="s">
        <v>3273</v>
      </c>
      <c r="Q22" s="1505">
        <v>0</v>
      </c>
      <c r="R22" s="395"/>
    </row>
    <row r="23" spans="2:18" x14ac:dyDescent="0.3">
      <c r="B23" s="413"/>
      <c r="D23" s="2" t="s">
        <v>3276</v>
      </c>
      <c r="E23" s="1505">
        <v>3</v>
      </c>
      <c r="F23" s="395"/>
      <c r="G23" s="1475"/>
      <c r="H23" s="395"/>
      <c r="I23" s="569"/>
      <c r="J23" s="2" t="s">
        <v>3276</v>
      </c>
      <c r="K23" s="1505">
        <v>3</v>
      </c>
      <c r="L23" s="395"/>
      <c r="M23" s="1475"/>
      <c r="N23" s="413"/>
      <c r="O23" s="569"/>
      <c r="P23" s="2" t="s">
        <v>3276</v>
      </c>
      <c r="Q23" s="1505">
        <v>3</v>
      </c>
      <c r="R23" s="395"/>
    </row>
    <row r="24" spans="2:18" x14ac:dyDescent="0.3">
      <c r="B24" s="413"/>
      <c r="D24" s="2" t="s">
        <v>3277</v>
      </c>
      <c r="E24" s="1505">
        <v>1</v>
      </c>
      <c r="F24" s="395"/>
      <c r="G24" s="1475"/>
      <c r="H24" s="395"/>
      <c r="I24" s="569"/>
      <c r="J24" s="2" t="s">
        <v>3277</v>
      </c>
      <c r="K24" s="1505">
        <v>1</v>
      </c>
      <c r="L24" s="395"/>
      <c r="M24" s="1475"/>
      <c r="N24" s="413"/>
      <c r="O24" s="569"/>
      <c r="P24" s="2" t="s">
        <v>3277</v>
      </c>
      <c r="Q24" s="1505">
        <v>1</v>
      </c>
      <c r="R24" s="395"/>
    </row>
    <row r="25" spans="2:18" x14ac:dyDescent="0.3">
      <c r="B25" s="413"/>
      <c r="D25" s="2" t="s">
        <v>3278</v>
      </c>
      <c r="E25" s="1505">
        <v>0</v>
      </c>
      <c r="F25" s="395"/>
      <c r="G25" s="1475"/>
      <c r="H25" s="395"/>
      <c r="I25" s="569"/>
      <c r="J25" s="2" t="s">
        <v>3278</v>
      </c>
      <c r="K25" s="1505">
        <v>0</v>
      </c>
      <c r="L25" s="395"/>
      <c r="M25" s="1475"/>
      <c r="N25" s="413"/>
      <c r="O25" s="569"/>
      <c r="P25" s="2" t="s">
        <v>3278</v>
      </c>
      <c r="Q25" s="1505">
        <v>0</v>
      </c>
      <c r="R25" s="395"/>
    </row>
    <row r="26" spans="2:18" x14ac:dyDescent="0.3">
      <c r="B26" s="413"/>
      <c r="D26" s="2" t="s">
        <v>3279</v>
      </c>
      <c r="E26" s="1505">
        <v>0</v>
      </c>
      <c r="F26" s="395"/>
      <c r="G26" s="1475"/>
      <c r="H26" s="395"/>
      <c r="I26" s="569"/>
      <c r="J26" s="2" t="s">
        <v>3279</v>
      </c>
      <c r="K26" s="1505">
        <v>0</v>
      </c>
      <c r="L26" s="395"/>
      <c r="M26" s="1475"/>
      <c r="N26" s="413"/>
      <c r="O26" s="569"/>
      <c r="P26" s="2" t="s">
        <v>3279</v>
      </c>
      <c r="Q26" s="1505">
        <v>0</v>
      </c>
      <c r="R26" s="395"/>
    </row>
    <row r="27" spans="2:18" x14ac:dyDescent="0.3">
      <c r="B27" s="413"/>
      <c r="D27" s="2" t="s">
        <v>3280</v>
      </c>
      <c r="E27" s="1505">
        <v>0</v>
      </c>
      <c r="F27" s="395"/>
      <c r="G27" s="1475"/>
      <c r="H27" s="395"/>
      <c r="I27" s="569"/>
      <c r="J27" s="2" t="s">
        <v>3280</v>
      </c>
      <c r="K27" s="1505">
        <v>0</v>
      </c>
      <c r="L27" s="395"/>
      <c r="M27" s="1475"/>
      <c r="N27" s="413"/>
      <c r="O27" s="569"/>
      <c r="P27" s="2" t="s">
        <v>3280</v>
      </c>
      <c r="Q27" s="1505">
        <v>0</v>
      </c>
      <c r="R27" s="395"/>
    </row>
    <row r="28" spans="2:18" x14ac:dyDescent="0.3">
      <c r="B28" s="413"/>
      <c r="C28" s="4" t="s">
        <v>2247</v>
      </c>
      <c r="D28" s="2" t="s">
        <v>3274</v>
      </c>
      <c r="E28" s="1505">
        <v>5</v>
      </c>
      <c r="F28" s="395"/>
      <c r="G28" s="1475"/>
      <c r="H28" s="395"/>
      <c r="I28" s="569" t="s">
        <v>2247</v>
      </c>
      <c r="J28" s="2" t="s">
        <v>3274</v>
      </c>
      <c r="K28" s="1505">
        <v>5</v>
      </c>
      <c r="L28" s="395"/>
      <c r="M28" s="1475"/>
      <c r="N28" s="413"/>
      <c r="O28" s="569" t="s">
        <v>2247</v>
      </c>
      <c r="P28" s="2" t="s">
        <v>3274</v>
      </c>
      <c r="Q28" s="1505">
        <v>5</v>
      </c>
      <c r="R28" s="395"/>
    </row>
    <row r="29" spans="2:18" x14ac:dyDescent="0.3">
      <c r="B29" s="413"/>
      <c r="C29" s="4" t="s">
        <v>2248</v>
      </c>
      <c r="D29" s="2" t="s">
        <v>3271</v>
      </c>
      <c r="E29" s="1505">
        <v>25</v>
      </c>
      <c r="F29" s="395"/>
      <c r="G29" s="1475"/>
      <c r="H29" s="395"/>
      <c r="I29" s="569" t="s">
        <v>2248</v>
      </c>
      <c r="J29" s="2" t="s">
        <v>3271</v>
      </c>
      <c r="K29" s="1505">
        <v>0</v>
      </c>
      <c r="L29" s="395"/>
      <c r="M29" s="1475"/>
      <c r="N29" s="413"/>
      <c r="O29" s="569" t="s">
        <v>2248</v>
      </c>
      <c r="P29" s="2" t="s">
        <v>3271</v>
      </c>
      <c r="Q29" s="1505">
        <v>25</v>
      </c>
      <c r="R29" s="395"/>
    </row>
    <row r="30" spans="2:18" x14ac:dyDescent="0.3">
      <c r="B30" s="413"/>
      <c r="C30" s="4" t="s">
        <v>2250</v>
      </c>
      <c r="D30" s="2" t="s">
        <v>3272</v>
      </c>
      <c r="E30" s="1505">
        <v>15</v>
      </c>
      <c r="F30" s="395"/>
      <c r="G30" s="1475"/>
      <c r="H30" s="395"/>
      <c r="I30" s="569" t="s">
        <v>2250</v>
      </c>
      <c r="J30" s="2" t="s">
        <v>3272</v>
      </c>
      <c r="K30" s="1505">
        <v>0</v>
      </c>
      <c r="L30" s="395"/>
      <c r="M30" s="1475"/>
      <c r="N30" s="413"/>
      <c r="O30" s="569" t="s">
        <v>2250</v>
      </c>
      <c r="P30" s="2" t="s">
        <v>3272</v>
      </c>
      <c r="Q30" s="1505">
        <v>0</v>
      </c>
      <c r="R30" s="395"/>
    </row>
    <row r="31" spans="2:18" x14ac:dyDescent="0.3">
      <c r="B31" s="413"/>
      <c r="D31" s="2" t="s">
        <v>3273</v>
      </c>
      <c r="E31" s="1505">
        <v>11</v>
      </c>
      <c r="F31" s="395"/>
      <c r="G31" s="1475"/>
      <c r="H31" s="395"/>
      <c r="I31" s="569"/>
      <c r="J31" s="2" t="s">
        <v>3273</v>
      </c>
      <c r="K31" s="1505">
        <v>0</v>
      </c>
      <c r="L31" s="395"/>
      <c r="M31" s="1475"/>
      <c r="N31" s="413"/>
      <c r="O31" s="569"/>
      <c r="P31" s="2" t="s">
        <v>3273</v>
      </c>
      <c r="Q31" s="1505">
        <v>11</v>
      </c>
      <c r="R31" s="395"/>
    </row>
    <row r="32" spans="2:18" x14ac:dyDescent="0.3">
      <c r="B32" s="413"/>
      <c r="C32" s="4" t="s">
        <v>2253</v>
      </c>
      <c r="D32" s="2" t="s">
        <v>3275</v>
      </c>
      <c r="E32" s="1505">
        <v>6</v>
      </c>
      <c r="F32" s="395"/>
      <c r="G32" s="1475"/>
      <c r="H32" s="395"/>
      <c r="I32" s="569" t="s">
        <v>2253</v>
      </c>
      <c r="J32" s="2" t="s">
        <v>3275</v>
      </c>
      <c r="K32" s="1505">
        <v>6</v>
      </c>
      <c r="L32" s="395"/>
      <c r="M32" s="1475"/>
      <c r="N32" s="413"/>
      <c r="O32" s="569" t="s">
        <v>2253</v>
      </c>
      <c r="P32" s="2" t="s">
        <v>3275</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7"/>
      <c r="J62" s="1667"/>
      <c r="K62" s="1667"/>
      <c r="L62" s="1667"/>
      <c r="M62" s="1484"/>
      <c r="N62" s="395"/>
      <c r="O62" s="395"/>
      <c r="P62" s="395"/>
      <c r="Q62" s="395"/>
      <c r="R62" s="395"/>
    </row>
    <row r="63" spans="2:43" x14ac:dyDescent="0.3">
      <c r="B63" s="413"/>
      <c r="C63" s="395"/>
      <c r="D63" s="395"/>
      <c r="E63" s="395"/>
      <c r="F63" s="395"/>
      <c r="G63" s="1475"/>
      <c r="H63" s="395"/>
      <c r="I63" s="1667"/>
      <c r="J63" s="1667"/>
      <c r="K63" s="1667"/>
      <c r="L63" s="1667"/>
      <c r="M63" s="1484"/>
      <c r="N63" s="395"/>
      <c r="O63" s="395"/>
      <c r="P63" s="395"/>
      <c r="Q63" s="395"/>
      <c r="R63" s="395"/>
    </row>
    <row r="64" spans="2:43" x14ac:dyDescent="0.3">
      <c r="B64" s="413"/>
      <c r="C64" s="395"/>
      <c r="D64" s="395"/>
      <c r="E64" s="395"/>
      <c r="F64" s="395"/>
      <c r="G64" s="1475"/>
      <c r="H64" s="395"/>
      <c r="I64" s="1667"/>
      <c r="J64" s="1667"/>
      <c r="K64" s="1667"/>
      <c r="L64" s="1667"/>
      <c r="M64" s="1484"/>
      <c r="N64" s="395"/>
      <c r="O64" s="395"/>
      <c r="P64" s="395"/>
      <c r="Q64" s="395"/>
      <c r="R64" s="395"/>
    </row>
    <row r="65" spans="2:18" x14ac:dyDescent="0.3">
      <c r="B65" s="413"/>
      <c r="C65" s="395"/>
      <c r="D65" s="395"/>
      <c r="E65" s="395"/>
      <c r="F65" s="395"/>
      <c r="G65" s="1475"/>
      <c r="H65" s="395"/>
      <c r="I65" s="1667"/>
      <c r="J65" s="1667"/>
      <c r="K65" s="1667"/>
      <c r="L65" s="1667"/>
      <c r="M65" s="1484"/>
      <c r="N65" s="395"/>
      <c r="O65" s="395"/>
      <c r="P65" s="395"/>
      <c r="Q65" s="395"/>
      <c r="R65" s="395"/>
    </row>
    <row r="66" spans="2:18" x14ac:dyDescent="0.3">
      <c r="B66" s="413"/>
      <c r="C66" s="395"/>
      <c r="D66" s="395"/>
      <c r="E66" s="395"/>
      <c r="F66" s="395"/>
      <c r="G66" s="1475"/>
      <c r="H66" s="395"/>
      <c r="I66" s="1667"/>
      <c r="J66" s="1667"/>
      <c r="K66" s="1667"/>
      <c r="L66" s="1667"/>
      <c r="M66" s="1484"/>
      <c r="N66" s="395"/>
      <c r="O66" s="395"/>
      <c r="P66" s="395"/>
      <c r="Q66" s="395"/>
      <c r="R66" s="395"/>
    </row>
    <row r="67" spans="2:18" x14ac:dyDescent="0.3">
      <c r="B67" s="413"/>
      <c r="C67" s="395"/>
      <c r="D67" s="395"/>
      <c r="E67" s="395"/>
      <c r="F67" s="395"/>
      <c r="G67" s="1475"/>
      <c r="H67" s="395"/>
      <c r="I67" s="1667"/>
      <c r="J67" s="1667"/>
      <c r="K67" s="1667"/>
      <c r="L67" s="1667"/>
      <c r="M67" s="1484"/>
      <c r="N67" s="395"/>
      <c r="O67" s="395"/>
      <c r="P67" s="395"/>
      <c r="Q67" s="395"/>
      <c r="R67" s="395"/>
    </row>
    <row r="68" spans="2:18" x14ac:dyDescent="0.3">
      <c r="B68" s="413"/>
      <c r="C68" s="395"/>
      <c r="D68" s="395"/>
      <c r="E68" s="395"/>
      <c r="F68" s="395"/>
      <c r="G68" s="1475"/>
      <c r="H68" s="395"/>
      <c r="I68" s="1667"/>
      <c r="J68" s="1667"/>
      <c r="K68" s="1667"/>
      <c r="L68" s="1667"/>
      <c r="M68" s="1484"/>
      <c r="N68" s="395"/>
      <c r="O68" s="395"/>
      <c r="P68" s="395"/>
      <c r="Q68" s="395"/>
      <c r="R68" s="395"/>
    </row>
    <row r="69" spans="2:18" x14ac:dyDescent="0.3">
      <c r="B69" s="413"/>
      <c r="C69" s="395"/>
      <c r="D69" s="395"/>
      <c r="E69" s="395"/>
      <c r="F69" s="395"/>
      <c r="G69" s="1475"/>
      <c r="H69" s="395"/>
      <c r="I69" s="1667"/>
      <c r="J69" s="1667"/>
      <c r="K69" s="1667"/>
      <c r="L69" s="1667"/>
      <c r="M69" s="1484"/>
      <c r="N69" s="395"/>
      <c r="O69" s="395"/>
      <c r="P69" s="395"/>
      <c r="Q69" s="395"/>
      <c r="R69" s="395"/>
    </row>
    <row r="70" spans="2:18" x14ac:dyDescent="0.3">
      <c r="B70" s="413"/>
      <c r="C70" s="395"/>
      <c r="D70" s="395"/>
      <c r="E70" s="395"/>
      <c r="F70" s="395"/>
      <c r="G70" s="1475"/>
      <c r="H70" s="395"/>
      <c r="I70" s="1667"/>
      <c r="J70" s="1667"/>
      <c r="K70" s="1667"/>
      <c r="L70" s="1667"/>
      <c r="M70" s="1484"/>
      <c r="N70" s="395"/>
      <c r="O70" s="395"/>
      <c r="P70" s="395"/>
      <c r="Q70" s="395"/>
      <c r="R70" s="395"/>
    </row>
    <row r="71" spans="2:18" x14ac:dyDescent="0.3">
      <c r="B71" s="413"/>
      <c r="C71" s="395"/>
      <c r="D71" s="492"/>
      <c r="E71" s="600"/>
      <c r="F71" s="600"/>
      <c r="G71" s="1499"/>
      <c r="H71" s="395"/>
      <c r="I71" s="1667"/>
      <c r="J71" s="1667"/>
      <c r="K71" s="1667"/>
      <c r="L71" s="1667"/>
      <c r="M71" s="1484"/>
      <c r="N71" s="395"/>
      <c r="O71" s="395"/>
      <c r="P71" s="395"/>
      <c r="Q71" s="395"/>
      <c r="R71" s="395"/>
    </row>
    <row r="72" spans="2:18" x14ac:dyDescent="0.3">
      <c r="B72" s="413"/>
      <c r="C72" s="1496"/>
      <c r="D72" s="495"/>
      <c r="E72" s="820"/>
      <c r="F72" s="820"/>
      <c r="G72" s="1497"/>
      <c r="H72" s="395"/>
      <c r="I72" s="1667"/>
      <c r="J72" s="1667"/>
      <c r="K72" s="1667"/>
      <c r="L72" s="1667"/>
      <c r="M72" s="1484"/>
      <c r="N72" s="395"/>
      <c r="O72" s="395"/>
      <c r="P72" s="395"/>
      <c r="Q72" s="395"/>
      <c r="R72" s="395"/>
    </row>
    <row r="73" spans="2:18" x14ac:dyDescent="0.3">
      <c r="B73" s="413"/>
      <c r="C73" s="1496"/>
      <c r="D73" s="495"/>
      <c r="E73" s="820"/>
      <c r="F73" s="820"/>
      <c r="G73" s="1497"/>
      <c r="H73" s="395"/>
      <c r="I73" s="1667"/>
      <c r="J73" s="1667"/>
      <c r="K73" s="1667"/>
      <c r="L73" s="1667"/>
      <c r="M73" s="1484"/>
      <c r="N73" s="395"/>
      <c r="O73" s="395"/>
      <c r="P73" s="395"/>
      <c r="Q73" s="395"/>
      <c r="R73" s="395"/>
    </row>
    <row r="74" spans="2:18" x14ac:dyDescent="0.3">
      <c r="B74" s="413"/>
      <c r="C74" s="1496"/>
      <c r="D74" s="495"/>
      <c r="E74" s="820"/>
      <c r="F74" s="820"/>
      <c r="G74" s="1497"/>
      <c r="H74" s="395"/>
      <c r="I74" s="1667"/>
      <c r="J74" s="1667"/>
      <c r="K74" s="1667"/>
      <c r="L74" s="1667"/>
      <c r="M74" s="1484"/>
      <c r="N74" s="395"/>
      <c r="O74" s="395"/>
      <c r="P74" s="395"/>
      <c r="Q74" s="395"/>
      <c r="R74" s="395"/>
    </row>
    <row r="75" spans="2:18" x14ac:dyDescent="0.3">
      <c r="B75" s="413"/>
      <c r="C75" s="1496"/>
      <c r="D75" s="495"/>
      <c r="E75" s="820"/>
      <c r="F75" s="820"/>
      <c r="G75" s="1497"/>
      <c r="H75" s="395"/>
      <c r="I75" s="1667"/>
      <c r="J75" s="1667"/>
      <c r="K75" s="1667"/>
      <c r="L75" s="1667"/>
      <c r="M75" s="1484"/>
      <c r="N75" s="395"/>
      <c r="O75" s="395"/>
      <c r="P75" s="395"/>
      <c r="Q75" s="395"/>
      <c r="R75" s="395"/>
    </row>
    <row r="76" spans="2:18" x14ac:dyDescent="0.3">
      <c r="B76" s="413"/>
      <c r="C76" s="1496"/>
      <c r="D76" s="495"/>
      <c r="E76" s="820"/>
      <c r="F76" s="820"/>
      <c r="G76" s="1497"/>
      <c r="H76" s="395"/>
      <c r="I76" s="1667"/>
      <c r="J76" s="1667"/>
      <c r="K76" s="1667"/>
      <c r="L76" s="1667"/>
      <c r="M76" s="1484"/>
      <c r="N76" s="395"/>
      <c r="O76" s="395"/>
      <c r="P76" s="395"/>
      <c r="Q76" s="395"/>
      <c r="R76" s="395"/>
    </row>
    <row r="77" spans="2:18" x14ac:dyDescent="0.3">
      <c r="B77" s="413"/>
      <c r="C77" s="1496"/>
      <c r="D77" s="495"/>
      <c r="E77" s="820"/>
      <c r="F77" s="820"/>
      <c r="G77" s="1497"/>
      <c r="H77" s="395"/>
      <c r="I77" s="1667"/>
      <c r="J77" s="1667"/>
      <c r="K77" s="1667"/>
      <c r="L77" s="1667"/>
      <c r="M77" s="1484"/>
      <c r="N77" s="395"/>
      <c r="O77" s="395"/>
      <c r="P77" s="395"/>
      <c r="Q77" s="395"/>
      <c r="R77" s="395"/>
    </row>
    <row r="78" spans="2:18" x14ac:dyDescent="0.3">
      <c r="B78" s="413"/>
      <c r="C78" s="1496"/>
      <c r="D78" s="495"/>
      <c r="E78" s="820"/>
      <c r="F78" s="820"/>
      <c r="G78" s="1497"/>
      <c r="H78" s="395"/>
      <c r="I78" s="1667"/>
      <c r="J78" s="1667"/>
      <c r="K78" s="1667"/>
      <c r="L78" s="1667"/>
      <c r="M78" s="1484"/>
      <c r="N78" s="395"/>
      <c r="O78" s="395"/>
      <c r="P78" s="395"/>
      <c r="Q78" s="395"/>
      <c r="R78" s="395"/>
    </row>
    <row r="79" spans="2:18" x14ac:dyDescent="0.3">
      <c r="B79" s="413"/>
      <c r="C79" s="1496"/>
      <c r="D79" s="495"/>
      <c r="E79" s="820"/>
      <c r="F79" s="820"/>
      <c r="G79" s="1497"/>
      <c r="H79" s="395"/>
      <c r="I79" s="1667"/>
      <c r="J79" s="1667"/>
      <c r="K79" s="1667"/>
      <c r="L79" s="1667"/>
      <c r="M79" s="1484"/>
      <c r="N79" s="395"/>
      <c r="O79" s="395"/>
      <c r="P79" s="395"/>
      <c r="Q79" s="395"/>
      <c r="R79" s="395"/>
    </row>
    <row r="80" spans="2:18" x14ac:dyDescent="0.3">
      <c r="B80" s="413"/>
      <c r="C80" s="1496"/>
      <c r="D80" s="495"/>
      <c r="E80" s="820"/>
      <c r="F80" s="820"/>
      <c r="G80" s="1497"/>
      <c r="H80" s="395"/>
      <c r="I80" s="1667"/>
      <c r="J80" s="1667"/>
      <c r="K80" s="1667"/>
      <c r="L80" s="1667"/>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41" t="s">
        <v>3287</v>
      </c>
      <c r="C7" s="2041"/>
      <c r="D7" s="2041"/>
      <c r="E7" s="2041"/>
      <c r="F7" s="2041"/>
      <c r="G7" s="2041"/>
    </row>
    <row r="8" spans="2:9" s="526" customFormat="1" x14ac:dyDescent="0.3"/>
    <row r="9" spans="2:9" ht="17.5" x14ac:dyDescent="0.35">
      <c r="B9" s="830" t="s">
        <v>2294</v>
      </c>
      <c r="C9" s="475"/>
      <c r="D9" s="475"/>
      <c r="E9" s="475"/>
      <c r="F9" s="475"/>
      <c r="G9" s="475"/>
      <c r="H9" s="475"/>
      <c r="I9" s="475"/>
    </row>
    <row r="10" spans="2:9" ht="68" customHeight="1" x14ac:dyDescent="0.3">
      <c r="B10" s="1720" t="s">
        <v>3286</v>
      </c>
      <c r="C10" s="1720"/>
      <c r="D10" s="1720"/>
      <c r="E10" s="1720"/>
      <c r="F10" s="1720"/>
      <c r="G10" s="1720"/>
    </row>
    <row r="11" spans="2:9" x14ac:dyDescent="0.3">
      <c r="B11" s="720" t="s">
        <v>183</v>
      </c>
      <c r="C11" s="720" t="s">
        <v>184</v>
      </c>
      <c r="D11" s="720" t="s">
        <v>185</v>
      </c>
      <c r="E11" s="720" t="s">
        <v>186</v>
      </c>
      <c r="G11" s="556"/>
    </row>
    <row r="12" spans="2:9" x14ac:dyDescent="0.3">
      <c r="B12" s="1103" t="s">
        <v>187</v>
      </c>
      <c r="C12" s="1104">
        <f>'2. Roles &amp; Pricing'!AD28</f>
        <v>663600</v>
      </c>
      <c r="D12" s="1104">
        <f>'2. Roles &amp; Pricing'!AE28</f>
        <v>303600</v>
      </c>
      <c r="E12" s="1105">
        <f>'2. Roles &amp; Pricing'!AF28</f>
        <v>363600</v>
      </c>
    </row>
    <row r="13" spans="2:9" x14ac:dyDescent="0.3">
      <c r="B13" s="1106" t="s">
        <v>1675</v>
      </c>
      <c r="C13" s="1095">
        <f>'2. Roles &amp; Pricing'!AD29</f>
        <v>570</v>
      </c>
      <c r="D13" s="1095">
        <f>'2. Roles &amp; Pricing'!AE29</f>
        <v>270</v>
      </c>
      <c r="E13" s="1107">
        <f>'2. Roles &amp; Pricing'!AF29</f>
        <v>320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696780</v>
      </c>
      <c r="D16" s="1114">
        <f>IFERROR(IF(D14="Manual Entry",(D12+(D12*D15)),(D12+D14+(D12*D15))),"")</f>
        <v>318780</v>
      </c>
      <c r="E16" s="1115">
        <f>IFERROR(IF(E14="Manual Entry",(E12+(E12*E15)),(E12+E14+(E12*E15))),"")</f>
        <v>381780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0.99914104882459309</v>
      </c>
      <c r="D19" s="1116">
        <f>IFERROR((SUMIFS('2. Roles &amp; Pricing'!$D291:$D$390,'2. Roles &amp; Pricing'!AE$48:AE$147,"Yes")-SUMIFS('2. Roles &amp; Pricing'!$F$291:$F$390,'2. Roles &amp; Pricing'!AE$48:AE$147,"Yes"))/SUMIFS('2. Roles &amp; Pricing'!$D$291:$D$390,'2. Roles &amp; Pricing'!AE$48:AE$147,"Yes"),"")</f>
        <v>0.99911067193675884</v>
      </c>
      <c r="E19" s="1117">
        <f>IFERROR((SUMIFS('2. Roles &amp; Pricing'!$D291:$D$390,'2. Roles &amp; Pricing'!AF$48:AF$147,"Yes")-SUMIFS('2. Roles &amp; Pricing'!$F$291:$F$390,'2. Roles &amp; Pricing'!AF$48:AF$147,"Yes"))/SUMIFS('2. Roles &amp; Pricing'!$D$291:$D$390,'2. Roles &amp; Pricing'!AF$48:AF$147,"Yes"),"")</f>
        <v>0.99911991199119909</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70.714285714285708</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85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126.5</v>
      </c>
      <c r="D21" s="1099">
        <f>IFERROR((SUMIFS('2. Roles &amp; Pricing'!$D$291:$D$390,'2. Roles &amp; Pricing'!$W49:$W148,"Onshore",'2. Roles &amp; Pricing'!AE$48:AE$147,"Yes"))/SUMIFS('2. Roles &amp; Pricing'!$M$291:$M$390,'2. Roles &amp; Pricing'!$W$48:$W$147,"Onshore",'2. Roles &amp; Pricing'!AE$48:AE$147,"Yes"),"")</f>
        <v>253</v>
      </c>
      <c r="E21" s="1118">
        <f>IFERROR((SUMIFS('2. Roles &amp; Pricing'!$D$291:$D$390,'2. Roles &amp; Pricing'!$W49:$W148,"Onshore",'2. Roles &amp; Pricing'!AF$48:AF$147,"Yes"))/SUMIFS('2. Roles &amp; Pricing'!$M$291:$M$390,'2. Roles &amp; Pricing'!$W$48:$W$147,"Onshore",'2. Roles &amp; Pricing'!AF$48:AF$147,"Yes"),"")</f>
        <v>68</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0.6</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9.8958333333333329E-2</v>
      </c>
      <c r="D23" s="1099">
        <f>'2. Roles &amp; Pricing'!AE30</f>
        <v>0.125</v>
      </c>
      <c r="E23" s="1118">
        <f>'2. Roles &amp; Pricing'!AF30</f>
        <v>9.5238095238095233E-2</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5760</v>
      </c>
      <c r="D26" s="1101">
        <f>SUMIFS('2. Roles &amp; Pricing'!$M$291:$M$390,'2. Roles &amp; Pricing'!$AE$48:AE$147,"yes")</f>
        <v>2160</v>
      </c>
      <c r="E26" s="972">
        <f>SUMIFS('2. Roles &amp; Pricing'!$M$291:$M$390,'2. Roles &amp; Pricing'!$AE$48:AE$147,"yes")</f>
        <v>2160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2043" t="s">
        <v>199</v>
      </c>
      <c r="C30" s="2044"/>
      <c r="D30" s="2044"/>
      <c r="E30" s="2044"/>
      <c r="F30" s="2044"/>
      <c r="G30" s="2044"/>
      <c r="H30" s="2045"/>
    </row>
    <row r="31" spans="2:8" x14ac:dyDescent="0.3">
      <c r="B31" s="2042" t="s">
        <v>200</v>
      </c>
      <c r="C31" s="2042" t="s">
        <v>43</v>
      </c>
      <c r="D31" s="2042"/>
      <c r="E31" s="2042" t="s">
        <v>44</v>
      </c>
      <c r="F31" s="2042"/>
      <c r="G31" s="2042" t="s">
        <v>45</v>
      </c>
      <c r="H31" s="2042"/>
    </row>
    <row r="32" spans="2:8" x14ac:dyDescent="0.3">
      <c r="B32" s="2042"/>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663600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363600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17968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3579</v>
      </c>
      <c r="E1" s="1302" t="s">
        <v>3580</v>
      </c>
      <c r="F1" s="1302" t="s">
        <v>239</v>
      </c>
      <c r="G1" s="1302" t="s">
        <v>240</v>
      </c>
      <c r="H1" s="1302" t="s">
        <v>241</v>
      </c>
      <c r="I1" s="1303" t="s">
        <v>173</v>
      </c>
      <c r="J1" s="1302" t="s">
        <v>3212</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3221</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3221</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3221</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3221</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3222</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3221</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3221</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3221</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3221</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3221</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3221</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3222</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3221</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3221</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3221</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3221</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3213</v>
      </c>
      <c r="C23" s="114">
        <v>13</v>
      </c>
      <c r="D23" s="114">
        <v>288</v>
      </c>
      <c r="E23" t="str">
        <f>CONCATENATE(A23," - ",B23)</f>
        <v>Credera India Consulting | Cloud &amp; Engineering - L2 / B1-B2 | Associate Engineer</v>
      </c>
    </row>
    <row r="24" spans="1:5" x14ac:dyDescent="0.35">
      <c r="A24" s="113" t="s">
        <v>629</v>
      </c>
      <c r="B24" s="113" t="s">
        <v>3214</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3215</v>
      </c>
      <c r="C30" s="114">
        <v>11</v>
      </c>
      <c r="D30" s="114">
        <v>240</v>
      </c>
      <c r="E30" t="str">
        <f t="shared" si="1"/>
        <v>Credera India Consulting | Content - L2 / B1-B2 | Associate Content Engineer</v>
      </c>
    </row>
    <row r="31" spans="1:5" x14ac:dyDescent="0.35">
      <c r="A31" s="113" t="s">
        <v>637</v>
      </c>
      <c r="B31" s="113" t="s">
        <v>3216</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3213</v>
      </c>
      <c r="C34" s="114">
        <v>13</v>
      </c>
      <c r="D34" s="114">
        <v>288</v>
      </c>
      <c r="E34" t="str">
        <f t="shared" si="1"/>
        <v>Credera India Consulting | Data &amp; AI - L2 / B1-B2 | Associate Engineer</v>
      </c>
    </row>
    <row r="35" spans="1:5" x14ac:dyDescent="0.35">
      <c r="A35" s="113" t="s">
        <v>638</v>
      </c>
      <c r="B35" s="113" t="s">
        <v>3214</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3217</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3218</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3219</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3213</v>
      </c>
      <c r="C67" s="114">
        <v>13</v>
      </c>
      <c r="D67" s="114">
        <v>288</v>
      </c>
      <c r="E67" t="str">
        <f t="shared" si="1"/>
        <v>Credera India Digital | MarTech - L2 / B1-B2 | Associate Engineer</v>
      </c>
    </row>
    <row r="68" spans="1:5" x14ac:dyDescent="0.35">
      <c r="A68" s="113" t="s">
        <v>660</v>
      </c>
      <c r="B68" s="113" t="s">
        <v>3214</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3213</v>
      </c>
      <c r="C74" s="114">
        <v>13</v>
      </c>
      <c r="D74" s="114">
        <v>288</v>
      </c>
      <c r="E74" t="str">
        <f t="shared" si="1"/>
        <v>Credera India Digital | Premium MarTech - L2 / B1-B2 | Associate Engineer</v>
      </c>
    </row>
    <row r="75" spans="1:5" x14ac:dyDescent="0.35">
      <c r="A75" s="113" t="s">
        <v>661</v>
      </c>
      <c r="B75" s="113" t="s">
        <v>3214</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3213</v>
      </c>
      <c r="C82" s="114">
        <v>45</v>
      </c>
      <c r="D82" s="114">
        <v>960</v>
      </c>
      <c r="E82" t="str">
        <f t="shared" si="1"/>
        <v>Credera LATAM Consulting | Cloud &amp; Engineering - L2 / B1-B2 | Associate Engineer</v>
      </c>
    </row>
    <row r="83" spans="1:5" x14ac:dyDescent="0.35">
      <c r="A83" s="113" t="s">
        <v>663</v>
      </c>
      <c r="B83" s="113" t="s">
        <v>3214</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3213</v>
      </c>
      <c r="C89" s="114">
        <v>45</v>
      </c>
      <c r="D89" s="114">
        <v>960</v>
      </c>
      <c r="E89" t="str">
        <f t="shared" si="2"/>
        <v>Credera LATAM Consulting | Data &amp; AI - L2 / B1-B2 | Associate Engineer</v>
      </c>
    </row>
    <row r="90" spans="1:5" x14ac:dyDescent="0.35">
      <c r="A90" s="113" t="s">
        <v>664</v>
      </c>
      <c r="B90" s="113" t="s">
        <v>3214</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3220</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3219</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3218</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3218</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3219</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3213</v>
      </c>
      <c r="C212" s="114">
        <v>13</v>
      </c>
      <c r="D212" s="114">
        <v>288</v>
      </c>
      <c r="E212" t="str">
        <f t="shared" si="3"/>
        <v>TADigital India Digital | MarTech - L2 / B1-B2 | Associate Engineer</v>
      </c>
    </row>
    <row r="213" spans="1:5" x14ac:dyDescent="0.35">
      <c r="A213" s="113" t="s">
        <v>717</v>
      </c>
      <c r="B213" s="113" t="s">
        <v>3214</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3213</v>
      </c>
      <c r="C219" s="114">
        <v>13</v>
      </c>
      <c r="D219" s="114">
        <v>288</v>
      </c>
      <c r="E219" t="str">
        <f t="shared" si="4"/>
        <v>TADigital India Digital | Premium MarTech - L2 / B1-B2 | Associate Engineer</v>
      </c>
    </row>
    <row r="220" spans="1:5" x14ac:dyDescent="0.35">
      <c r="A220" s="113" t="s">
        <v>718</v>
      </c>
      <c r="B220" s="113" t="s">
        <v>3214</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4" t="s">
        <v>1299</v>
      </c>
      <c r="B1" s="1664"/>
      <c r="C1" s="1664"/>
    </row>
    <row r="2" spans="1:34" s="469" customFormat="1" x14ac:dyDescent="0.3">
      <c r="A2" s="1664"/>
      <c r="B2" s="1664"/>
      <c r="C2" s="1664"/>
    </row>
    <row r="3" spans="1:34" x14ac:dyDescent="0.3">
      <c r="A3" s="2047" t="s">
        <v>232</v>
      </c>
      <c r="B3" s="2048"/>
      <c r="C3" s="2048"/>
      <c r="D3" s="2048"/>
      <c r="E3" s="2048"/>
      <c r="F3" s="2048"/>
      <c r="G3" s="2048"/>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9" t="s">
        <v>1192</v>
      </c>
      <c r="Y7" s="2049"/>
      <c r="Z7" s="2046" t="s">
        <v>1315</v>
      </c>
      <c r="AA7" s="2046"/>
      <c r="AB7" s="2046" t="s">
        <v>1316</v>
      </c>
      <c r="AC7" s="2046"/>
      <c r="AD7" s="2046" t="s">
        <v>1317</v>
      </c>
      <c r="AE7" s="2046"/>
      <c r="AF7" s="2046" t="s">
        <v>1318</v>
      </c>
      <c r="AG7" s="2046"/>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45312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3602</v>
      </c>
      <c r="B1" s="1592" t="s">
        <v>3601</v>
      </c>
      <c r="C1" s="1592" t="s">
        <v>3600</v>
      </c>
      <c r="D1" s="1591"/>
      <c r="E1" s="1591"/>
    </row>
    <row r="2" spans="1:5" ht="12.75" customHeight="1" x14ac:dyDescent="0.2">
      <c r="A2" s="1590" t="s">
        <v>3599</v>
      </c>
      <c r="B2" s="1590" t="s">
        <v>3596</v>
      </c>
      <c r="C2" s="1589" t="b">
        <v>0</v>
      </c>
      <c r="D2" s="1587"/>
      <c r="E2" s="1587"/>
    </row>
    <row r="3" spans="1:5" ht="12.75" customHeight="1" x14ac:dyDescent="0.2">
      <c r="A3" s="1590" t="s">
        <v>3598</v>
      </c>
      <c r="B3" s="1590" t="s">
        <v>3596</v>
      </c>
      <c r="C3" s="1589" t="b">
        <v>0</v>
      </c>
      <c r="D3" s="1587"/>
      <c r="E3" s="1587"/>
    </row>
    <row r="4" spans="1:5" ht="12.75" customHeight="1" x14ac:dyDescent="0.2">
      <c r="A4" s="1590" t="s">
        <v>3597</v>
      </c>
      <c r="B4" s="1590" t="s">
        <v>3596</v>
      </c>
      <c r="C4" s="1589" t="b">
        <v>0</v>
      </c>
      <c r="D4" s="1587"/>
      <c r="E4" s="1587"/>
    </row>
    <row r="5" spans="1:5" ht="12.75" customHeight="1" x14ac:dyDescent="0.2">
      <c r="A5" s="1590" t="s">
        <v>258</v>
      </c>
      <c r="B5" s="1590" t="s">
        <v>3603</v>
      </c>
      <c r="C5" s="1589" t="b">
        <v>1</v>
      </c>
      <c r="D5" s="1587"/>
      <c r="E5" s="1587"/>
    </row>
    <row r="6" spans="1:5" ht="12.75" customHeight="1" x14ac:dyDescent="0.2">
      <c r="A6" s="1590" t="s">
        <v>270</v>
      </c>
      <c r="B6" s="1590" t="s">
        <v>3604</v>
      </c>
      <c r="C6" s="1589" t="b">
        <v>1</v>
      </c>
      <c r="D6" s="1587"/>
      <c r="E6" s="1587"/>
    </row>
    <row r="7" spans="1:5" ht="12.75" customHeight="1" x14ac:dyDescent="0.2">
      <c r="A7" s="1590" t="s">
        <v>284</v>
      </c>
      <c r="B7" s="1590" t="s">
        <v>3605</v>
      </c>
      <c r="C7" s="1589" t="b">
        <v>1</v>
      </c>
      <c r="D7" s="1587"/>
      <c r="E7" s="1587"/>
    </row>
    <row r="8" spans="1:5" ht="12.75" customHeight="1" x14ac:dyDescent="0.2">
      <c r="A8" s="1590" t="s">
        <v>177</v>
      </c>
      <c r="B8" s="1590" t="s">
        <v>3606</v>
      </c>
      <c r="C8" s="1589" t="b">
        <v>1</v>
      </c>
      <c r="D8" s="1587"/>
      <c r="E8" s="1587"/>
    </row>
    <row r="9" spans="1:5" ht="12.75" customHeight="1" x14ac:dyDescent="0.2">
      <c r="A9" s="1590" t="s">
        <v>302</v>
      </c>
      <c r="B9" s="1590" t="s">
        <v>3607</v>
      </c>
      <c r="C9" s="1589" t="b">
        <v>1</v>
      </c>
      <c r="D9" s="1587"/>
      <c r="E9" s="1587"/>
    </row>
    <row r="10" spans="1:5" ht="12.75" customHeight="1" x14ac:dyDescent="0.2">
      <c r="A10" s="1590" t="s">
        <v>309</v>
      </c>
      <c r="B10" s="1590" t="s">
        <v>3608</v>
      </c>
      <c r="C10" s="1589" t="b">
        <v>1</v>
      </c>
      <c r="D10" s="1587"/>
      <c r="E10" s="1587"/>
    </row>
    <row r="11" spans="1:5" ht="12.75" customHeight="1" x14ac:dyDescent="0.2">
      <c r="A11" s="1590" t="s">
        <v>315</v>
      </c>
      <c r="B11" s="1590" t="s">
        <v>3609</v>
      </c>
      <c r="C11" s="1589" t="b">
        <v>1</v>
      </c>
      <c r="D11" s="1587"/>
      <c r="E11" s="1587"/>
    </row>
    <row r="12" spans="1:5" ht="12.75" customHeight="1" x14ac:dyDescent="0.2">
      <c r="A12" s="1590" t="s">
        <v>320</v>
      </c>
      <c r="B12" s="1590" t="s">
        <v>3610</v>
      </c>
      <c r="C12" s="1589" t="b">
        <v>1</v>
      </c>
      <c r="D12" s="1587"/>
      <c r="E12" s="1587"/>
    </row>
    <row r="13" spans="1:5" ht="12.75" customHeight="1" x14ac:dyDescent="0.2">
      <c r="A13" s="1590" t="s">
        <v>323</v>
      </c>
      <c r="B13" s="1590" t="s">
        <v>3611</v>
      </c>
      <c r="C13" s="1589" t="b">
        <v>1</v>
      </c>
      <c r="D13" s="1587"/>
      <c r="E13" s="1587"/>
    </row>
    <row r="14" spans="1:5" ht="12.75" customHeight="1" x14ac:dyDescent="0.2">
      <c r="A14" s="1590" t="s">
        <v>327</v>
      </c>
      <c r="B14" s="1590" t="s">
        <v>3612</v>
      </c>
      <c r="C14" s="1589" t="b">
        <v>1</v>
      </c>
      <c r="D14" s="1587"/>
      <c r="E14" s="1587"/>
    </row>
    <row r="15" spans="1:5" ht="12.75" customHeight="1" x14ac:dyDescent="0.2">
      <c r="A15" s="1590" t="s">
        <v>329</v>
      </c>
      <c r="B15" s="1590" t="s">
        <v>3613</v>
      </c>
      <c r="C15" s="1589" t="b">
        <v>1</v>
      </c>
      <c r="D15" s="1587"/>
      <c r="E15" s="1587"/>
    </row>
    <row r="16" spans="1:5" ht="12.75" customHeight="1" x14ac:dyDescent="0.2">
      <c r="A16" s="1590" t="s">
        <v>332</v>
      </c>
      <c r="B16" s="1590" t="s">
        <v>3614</v>
      </c>
      <c r="C16" s="1589" t="b">
        <v>1</v>
      </c>
      <c r="D16" s="1587"/>
      <c r="E16" s="1587"/>
    </row>
    <row r="17" spans="1:5" ht="12.75" customHeight="1" x14ac:dyDescent="0.2">
      <c r="A17" s="1590" t="s">
        <v>333</v>
      </c>
      <c r="B17" s="1590" t="s">
        <v>3615</v>
      </c>
      <c r="C17" s="1589" t="b">
        <v>1</v>
      </c>
      <c r="D17" s="1587"/>
      <c r="E17" s="1587"/>
    </row>
    <row r="18" spans="1:5" ht="12.75" customHeight="1" x14ac:dyDescent="0.2">
      <c r="A18" s="1590" t="s">
        <v>335</v>
      </c>
      <c r="B18" s="1590" t="s">
        <v>3616</v>
      </c>
      <c r="C18" s="1589" t="b">
        <v>1</v>
      </c>
      <c r="D18" s="1587"/>
      <c r="E18" s="1587"/>
    </row>
    <row r="19" spans="1:5" ht="12.75" customHeight="1" x14ac:dyDescent="0.2">
      <c r="A19" s="1590" t="s">
        <v>337</v>
      </c>
      <c r="B19" s="1590" t="s">
        <v>3617</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3618</v>
      </c>
      <c r="C21" s="1589" t="b">
        <v>1</v>
      </c>
      <c r="D21" s="1587"/>
      <c r="E21" s="1587"/>
    </row>
    <row r="22" spans="1:5" ht="12.75" customHeight="1" x14ac:dyDescent="0.2">
      <c r="A22" s="1590" t="s">
        <v>343</v>
      </c>
      <c r="B22" s="1590" t="s">
        <v>3619</v>
      </c>
      <c r="C22" s="1589" t="b">
        <v>1</v>
      </c>
      <c r="D22" s="1587"/>
      <c r="E22" s="1587"/>
    </row>
    <row r="23" spans="1:5" ht="12.75" customHeight="1" x14ac:dyDescent="0.2">
      <c r="A23" s="1590" t="s">
        <v>345</v>
      </c>
      <c r="B23" s="1590" t="s">
        <v>3620</v>
      </c>
      <c r="C23" s="1589" t="b">
        <v>1</v>
      </c>
      <c r="D23" s="1587"/>
      <c r="E23" s="1587"/>
    </row>
    <row r="24" spans="1:5" ht="12.75" customHeight="1" x14ac:dyDescent="0.2">
      <c r="A24" s="1590" t="s">
        <v>348</v>
      </c>
      <c r="B24" s="1590" t="s">
        <v>3621</v>
      </c>
      <c r="C24" s="1589" t="b">
        <v>1</v>
      </c>
      <c r="D24" s="1587"/>
      <c r="E24" s="1587"/>
    </row>
    <row r="25" spans="1:5" ht="12.75" customHeight="1" x14ac:dyDescent="0.2">
      <c r="A25" s="1590" t="s">
        <v>350</v>
      </c>
      <c r="B25" s="1590" t="s">
        <v>3622</v>
      </c>
      <c r="C25" s="1589" t="b">
        <v>1</v>
      </c>
      <c r="D25" s="1587"/>
      <c r="E25" s="1587"/>
    </row>
    <row r="26" spans="1:5" ht="12.75" customHeight="1" x14ac:dyDescent="0.2">
      <c r="A26" s="1590" t="s">
        <v>352</v>
      </c>
      <c r="B26" s="1590" t="s">
        <v>3623</v>
      </c>
      <c r="C26" s="1589" t="b">
        <v>1</v>
      </c>
      <c r="D26" s="1587"/>
      <c r="E26" s="1587"/>
    </row>
    <row r="27" spans="1:5" ht="12.75" customHeight="1" x14ac:dyDescent="0.2">
      <c r="A27" s="1590" t="s">
        <v>355</v>
      </c>
      <c r="B27" s="1590" t="s">
        <v>3624</v>
      </c>
      <c r="C27" s="1589" t="b">
        <v>1</v>
      </c>
      <c r="D27" s="1587"/>
      <c r="E27" s="1587"/>
    </row>
    <row r="28" spans="1:5" ht="12.75" customHeight="1" x14ac:dyDescent="0.2">
      <c r="A28" s="1590" t="s">
        <v>357</v>
      </c>
      <c r="B28" s="1590" t="s">
        <v>3625</v>
      </c>
      <c r="C28" s="1589" t="b">
        <v>1</v>
      </c>
      <c r="D28" s="1587"/>
      <c r="E28" s="1587"/>
    </row>
    <row r="29" spans="1:5" ht="12.75" customHeight="1" x14ac:dyDescent="0.2">
      <c r="A29" s="1590" t="s">
        <v>359</v>
      </c>
      <c r="B29" s="1590" t="s">
        <v>3626</v>
      </c>
      <c r="C29" s="1589" t="b">
        <v>1</v>
      </c>
      <c r="D29" s="1587"/>
      <c r="E29" s="1587"/>
    </row>
    <row r="30" spans="1:5" ht="12.75" customHeight="1" x14ac:dyDescent="0.2">
      <c r="A30" s="1590" t="s">
        <v>361</v>
      </c>
      <c r="B30" s="1590" t="s">
        <v>3627</v>
      </c>
      <c r="C30" s="1589" t="b">
        <v>1</v>
      </c>
      <c r="D30" s="1587"/>
      <c r="E30" s="1587"/>
    </row>
    <row r="31" spans="1:5" ht="12.75" customHeight="1" x14ac:dyDescent="0.2">
      <c r="A31" s="1590" t="s">
        <v>363</v>
      </c>
      <c r="B31" s="1590" t="s">
        <v>3628</v>
      </c>
      <c r="C31" s="1589" t="b">
        <v>1</v>
      </c>
      <c r="D31" s="1587"/>
      <c r="E31" s="1587"/>
    </row>
    <row r="32" spans="1:5" ht="12.75" customHeight="1" x14ac:dyDescent="0.2">
      <c r="A32" s="1590" t="s">
        <v>365</v>
      </c>
      <c r="B32" s="1590" t="s">
        <v>3629</v>
      </c>
      <c r="C32" s="1589" t="b">
        <v>1</v>
      </c>
      <c r="D32" s="1587"/>
      <c r="E32" s="1587"/>
    </row>
    <row r="33" spans="1:5" ht="12.75" customHeight="1" x14ac:dyDescent="0.2">
      <c r="A33" s="1590" t="s">
        <v>367</v>
      </c>
      <c r="B33" s="1590" t="s">
        <v>3630</v>
      </c>
      <c r="C33" s="1589" t="b">
        <v>1</v>
      </c>
      <c r="D33" s="1587"/>
      <c r="E33" s="1587"/>
    </row>
    <row r="34" spans="1:5" ht="12.75" customHeight="1" x14ac:dyDescent="0.2">
      <c r="A34" s="1590" t="s">
        <v>369</v>
      </c>
      <c r="B34" s="1590" t="s">
        <v>3631</v>
      </c>
      <c r="C34" s="1589" t="b">
        <v>1</v>
      </c>
      <c r="D34" s="1587"/>
      <c r="E34" s="1587"/>
    </row>
    <row r="35" spans="1:5" ht="12.75" customHeight="1" x14ac:dyDescent="0.2">
      <c r="A35" s="1590" t="s">
        <v>370</v>
      </c>
      <c r="B35" s="1590" t="s">
        <v>3632</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3633</v>
      </c>
      <c r="C37" s="1589" t="b">
        <v>1</v>
      </c>
      <c r="D37" s="1587"/>
      <c r="E37" s="1587"/>
    </row>
    <row r="38" spans="1:5" ht="12.75" customHeight="1" x14ac:dyDescent="0.2">
      <c r="A38" s="1590" t="s">
        <v>373</v>
      </c>
      <c r="B38" s="1590" t="s">
        <v>3634</v>
      </c>
      <c r="C38" s="1589" t="b">
        <v>1</v>
      </c>
      <c r="D38" s="1587"/>
      <c r="E38" s="1587"/>
    </row>
    <row r="39" spans="1:5" ht="12.75" customHeight="1" x14ac:dyDescent="0.2">
      <c r="A39" s="1590" t="s">
        <v>374</v>
      </c>
      <c r="B39" s="1590" t="s">
        <v>3635</v>
      </c>
      <c r="C39" s="1589" t="b">
        <v>1</v>
      </c>
      <c r="D39" s="1587"/>
      <c r="E39" s="1587"/>
    </row>
    <row r="40" spans="1:5" ht="12.75" customHeight="1" x14ac:dyDescent="0.2">
      <c r="A40" s="1590" t="s">
        <v>375</v>
      </c>
      <c r="B40" s="1590" t="s">
        <v>3636</v>
      </c>
      <c r="C40" s="1589" t="b">
        <v>1</v>
      </c>
      <c r="D40" s="1587"/>
      <c r="E40" s="1587"/>
    </row>
    <row r="41" spans="1:5" ht="12.75" customHeight="1" x14ac:dyDescent="0.2">
      <c r="A41" s="1590" t="s">
        <v>376</v>
      </c>
      <c r="B41" s="1590" t="s">
        <v>3637</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3638</v>
      </c>
      <c r="C43" s="1589" t="b">
        <v>1</v>
      </c>
      <c r="D43" s="1587"/>
      <c r="E43" s="1587"/>
    </row>
    <row r="44" spans="1:5" ht="12.75" customHeight="1" x14ac:dyDescent="0.2">
      <c r="A44" s="1590" t="s">
        <v>380</v>
      </c>
      <c r="B44" s="1590" t="s">
        <v>3639</v>
      </c>
      <c r="C44" s="1589" t="b">
        <v>1</v>
      </c>
      <c r="D44" s="1587"/>
      <c r="E44" s="1587"/>
    </row>
    <row r="45" spans="1:5" ht="12.75" customHeight="1" x14ac:dyDescent="0.2">
      <c r="A45" s="1590" t="s">
        <v>381</v>
      </c>
      <c r="B45" s="1590" t="s">
        <v>3640</v>
      </c>
      <c r="C45" s="1589" t="b">
        <v>1</v>
      </c>
      <c r="D45" s="1587"/>
      <c r="E45" s="1587"/>
    </row>
    <row r="46" spans="1:5" ht="12.75" customHeight="1" x14ac:dyDescent="0.2">
      <c r="A46" s="1590" t="s">
        <v>383</v>
      </c>
      <c r="B46" s="1590" t="s">
        <v>3641</v>
      </c>
      <c r="C46" s="1589" t="b">
        <v>1</v>
      </c>
      <c r="D46" s="1587"/>
      <c r="E46" s="1587"/>
    </row>
    <row r="47" spans="1:5" ht="12.75" customHeight="1" x14ac:dyDescent="0.2">
      <c r="A47" s="1590" t="s">
        <v>384</v>
      </c>
      <c r="B47" s="1590" t="s">
        <v>3642</v>
      </c>
      <c r="C47" s="1589" t="b">
        <v>1</v>
      </c>
      <c r="D47" s="1587"/>
      <c r="E47" s="1587"/>
    </row>
    <row r="48" spans="1:5" ht="12.75" customHeight="1" x14ac:dyDescent="0.2">
      <c r="A48" s="1590" t="s">
        <v>386</v>
      </c>
      <c r="B48" s="1590" t="s">
        <v>3643</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3644</v>
      </c>
      <c r="C50" s="1589" t="b">
        <v>1</v>
      </c>
      <c r="D50" s="1587"/>
      <c r="E50" s="1587"/>
    </row>
    <row r="51" spans="1:5" ht="12.75" customHeight="1" x14ac:dyDescent="0.2">
      <c r="A51" s="1590" t="s">
        <v>389</v>
      </c>
      <c r="B51" s="1590" t="s">
        <v>3645</v>
      </c>
      <c r="C51" s="1589" t="b">
        <v>1</v>
      </c>
      <c r="D51" s="1587"/>
      <c r="E51" s="1587"/>
    </row>
    <row r="52" spans="1:5" ht="12.75" customHeight="1" x14ac:dyDescent="0.2">
      <c r="A52" s="1590" t="s">
        <v>390</v>
      </c>
      <c r="B52" s="1590" t="s">
        <v>3646</v>
      </c>
      <c r="C52" s="1589" t="b">
        <v>1</v>
      </c>
      <c r="D52" s="1587"/>
      <c r="E52" s="1587"/>
    </row>
    <row r="53" spans="1:5" ht="12.75" customHeight="1" x14ac:dyDescent="0.2">
      <c r="A53" s="1590" t="s">
        <v>391</v>
      </c>
      <c r="B53" s="1590" t="s">
        <v>3647</v>
      </c>
      <c r="C53" s="1589" t="b">
        <v>1</v>
      </c>
      <c r="D53" s="1587"/>
      <c r="E53" s="1587"/>
    </row>
    <row r="54" spans="1:5" ht="12.75" customHeight="1" x14ac:dyDescent="0.2">
      <c r="A54" s="1590" t="s">
        <v>392</v>
      </c>
      <c r="B54" s="1590" t="s">
        <v>3648</v>
      </c>
      <c r="C54" s="1589" t="b">
        <v>1</v>
      </c>
      <c r="D54" s="1587"/>
      <c r="E54" s="1587"/>
    </row>
    <row r="55" spans="1:5" ht="12.75" customHeight="1" x14ac:dyDescent="0.2">
      <c r="A55" s="1590" t="s">
        <v>393</v>
      </c>
      <c r="B55" s="1590" t="s">
        <v>3649</v>
      </c>
      <c r="C55" s="1589" t="b">
        <v>1</v>
      </c>
      <c r="D55" s="1587"/>
      <c r="E55" s="1587"/>
    </row>
    <row r="56" spans="1:5" ht="12.75" customHeight="1" x14ac:dyDescent="0.2">
      <c r="A56" s="1590" t="s">
        <v>394</v>
      </c>
      <c r="B56" s="1590" t="s">
        <v>3650</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3651</v>
      </c>
      <c r="C58" s="1589" t="b">
        <v>1</v>
      </c>
      <c r="D58" s="1587"/>
      <c r="E58" s="1587"/>
    </row>
    <row r="59" spans="1:5" ht="12.75" customHeight="1" x14ac:dyDescent="0.2">
      <c r="A59" s="1590" t="s">
        <v>397</v>
      </c>
      <c r="B59" s="1590" t="s">
        <v>3652</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3653</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3654</v>
      </c>
      <c r="C64" s="1589" t="b">
        <v>1</v>
      </c>
      <c r="D64" s="1587"/>
      <c r="E64" s="1587"/>
    </row>
    <row r="65" spans="1:5" ht="12.75" customHeight="1" x14ac:dyDescent="0.2">
      <c r="A65" s="1590" t="s">
        <v>403</v>
      </c>
      <c r="B65" s="1590" t="s">
        <v>3655</v>
      </c>
      <c r="C65" s="1589" t="b">
        <v>1</v>
      </c>
      <c r="D65" s="1587"/>
      <c r="E65" s="1587"/>
    </row>
    <row r="66" spans="1:5" ht="12.75" customHeight="1" x14ac:dyDescent="0.2">
      <c r="A66" s="1590" t="s">
        <v>404</v>
      </c>
      <c r="B66" s="1590" t="s">
        <v>3656</v>
      </c>
      <c r="C66" s="1589" t="b">
        <v>1</v>
      </c>
      <c r="D66" s="1587"/>
      <c r="E66" s="1587"/>
    </row>
    <row r="67" spans="1:5" ht="12.75" customHeight="1" x14ac:dyDescent="0.2">
      <c r="A67" s="1590" t="s">
        <v>405</v>
      </c>
      <c r="B67" s="1590" t="s">
        <v>3657</v>
      </c>
      <c r="C67" s="1589" t="b">
        <v>1</v>
      </c>
      <c r="D67" s="1587"/>
      <c r="E67" s="1587"/>
    </row>
    <row r="68" spans="1:5" ht="12.75" customHeight="1" x14ac:dyDescent="0.2">
      <c r="A68" s="1590" t="s">
        <v>406</v>
      </c>
      <c r="B68" s="1590" t="s">
        <v>3658</v>
      </c>
      <c r="C68" s="1589" t="b">
        <v>1</v>
      </c>
      <c r="D68" s="1587"/>
      <c r="E68" s="1587"/>
    </row>
    <row r="69" spans="1:5" ht="12.75" customHeight="1" x14ac:dyDescent="0.2">
      <c r="A69" s="1590" t="s">
        <v>407</v>
      </c>
      <c r="B69" s="1590" t="s">
        <v>3659</v>
      </c>
      <c r="C69" s="1589" t="b">
        <v>1</v>
      </c>
      <c r="D69" s="1587"/>
      <c r="E69" s="1587"/>
    </row>
    <row r="70" spans="1:5" ht="12.75" customHeight="1" x14ac:dyDescent="0.2">
      <c r="A70" s="1590" t="s">
        <v>408</v>
      </c>
      <c r="B70" s="1590" t="s">
        <v>3660</v>
      </c>
      <c r="C70" s="1589" t="b">
        <v>1</v>
      </c>
      <c r="D70" s="1587"/>
      <c r="E70" s="1587"/>
    </row>
    <row r="71" spans="1:5" ht="12.75" customHeight="1" x14ac:dyDescent="0.2">
      <c r="A71" s="1590" t="s">
        <v>409</v>
      </c>
      <c r="B71" s="1590" t="s">
        <v>3661</v>
      </c>
      <c r="C71" s="1589" t="b">
        <v>1</v>
      </c>
      <c r="D71" s="1587"/>
      <c r="E71" s="1587"/>
    </row>
    <row r="72" spans="1:5" ht="12.75" customHeight="1" x14ac:dyDescent="0.2">
      <c r="A72" s="1590" t="s">
        <v>410</v>
      </c>
      <c r="B72" s="1590" t="s">
        <v>3662</v>
      </c>
      <c r="C72" s="1589" t="b">
        <v>1</v>
      </c>
      <c r="D72" s="1587"/>
      <c r="E72" s="1587"/>
    </row>
    <row r="73" spans="1:5" ht="12.75" customHeight="1" x14ac:dyDescent="0.2">
      <c r="A73" s="1590" t="s">
        <v>411</v>
      </c>
      <c r="B73" s="1590" t="s">
        <v>3663</v>
      </c>
      <c r="C73" s="1589" t="b">
        <v>1</v>
      </c>
      <c r="D73" s="1587"/>
      <c r="E73" s="1587"/>
    </row>
    <row r="74" spans="1:5" ht="12.75" customHeight="1" x14ac:dyDescent="0.2">
      <c r="A74" s="1590" t="s">
        <v>3595</v>
      </c>
      <c r="B74" s="1590" t="s">
        <v>3664</v>
      </c>
      <c r="C74" s="1589" t="b">
        <v>0</v>
      </c>
      <c r="D74" s="1587"/>
      <c r="E74" s="1587"/>
    </row>
    <row r="75" spans="1:5" ht="12.75" customHeight="1" x14ac:dyDescent="0.2">
      <c r="A75" s="1590" t="s">
        <v>3594</v>
      </c>
      <c r="B75" s="1590" t="s">
        <v>3665</v>
      </c>
      <c r="C75" s="1589" t="b">
        <v>0</v>
      </c>
      <c r="D75" s="1587"/>
      <c r="E75" s="1587"/>
    </row>
    <row r="76" spans="1:5" ht="12.75" customHeight="1" x14ac:dyDescent="0.2">
      <c r="A76" s="1590" t="s">
        <v>3593</v>
      </c>
      <c r="B76" s="1590" t="s">
        <v>3666</v>
      </c>
      <c r="C76" s="1589" t="b">
        <v>0</v>
      </c>
      <c r="D76" s="1587"/>
      <c r="E76" s="1587"/>
    </row>
    <row r="77" spans="1:5" ht="12.75" customHeight="1" x14ac:dyDescent="0.2">
      <c r="A77" s="1590" t="s">
        <v>412</v>
      </c>
      <c r="B77" s="1590" t="s">
        <v>3667</v>
      </c>
      <c r="C77" s="1589" t="b">
        <v>1</v>
      </c>
      <c r="D77" s="1587"/>
      <c r="E77" s="1587"/>
    </row>
    <row r="78" spans="1:5" ht="12.75" customHeight="1" x14ac:dyDescent="0.2">
      <c r="A78" s="1590" t="s">
        <v>413</v>
      </c>
      <c r="B78" s="1590" t="s">
        <v>3668</v>
      </c>
      <c r="C78" s="1589" t="b">
        <v>1</v>
      </c>
      <c r="D78" s="1587"/>
      <c r="E78" s="1587"/>
    </row>
    <row r="79" spans="1:5" ht="12.75" customHeight="1" x14ac:dyDescent="0.2">
      <c r="A79" s="1590" t="s">
        <v>3592</v>
      </c>
      <c r="B79" s="1590" t="s">
        <v>3669</v>
      </c>
      <c r="C79" s="1589" t="b">
        <v>0</v>
      </c>
      <c r="D79" s="1587"/>
      <c r="E79" s="1587"/>
    </row>
    <row r="80" spans="1:5" ht="12.75" customHeight="1" x14ac:dyDescent="0.2">
      <c r="A80" s="1590" t="s">
        <v>414</v>
      </c>
      <c r="B80" s="1590" t="s">
        <v>3670</v>
      </c>
      <c r="C80" s="1589" t="b">
        <v>1</v>
      </c>
      <c r="D80" s="1587"/>
      <c r="E80" s="1587"/>
    </row>
    <row r="81" spans="1:5" ht="12.75" customHeight="1" x14ac:dyDescent="0.2">
      <c r="A81" s="1590" t="s">
        <v>415</v>
      </c>
      <c r="B81" s="1590" t="s">
        <v>3671</v>
      </c>
      <c r="C81" s="1589" t="b">
        <v>1</v>
      </c>
      <c r="D81" s="1587"/>
      <c r="E81" s="1587"/>
    </row>
    <row r="82" spans="1:5" ht="12.75" customHeight="1" x14ac:dyDescent="0.2">
      <c r="A82" s="1590" t="s">
        <v>416</v>
      </c>
      <c r="B82" s="1590" t="s">
        <v>3672</v>
      </c>
      <c r="C82" s="1589" t="b">
        <v>1</v>
      </c>
      <c r="D82" s="1587"/>
      <c r="E82" s="1587"/>
    </row>
    <row r="83" spans="1:5" ht="12.75" customHeight="1" x14ac:dyDescent="0.2">
      <c r="A83" s="1590" t="s">
        <v>417</v>
      </c>
      <c r="B83" s="1590" t="s">
        <v>3673</v>
      </c>
      <c r="C83" s="1589" t="b">
        <v>1</v>
      </c>
      <c r="D83" s="1587"/>
      <c r="E83" s="1587"/>
    </row>
    <row r="84" spans="1:5" ht="12.75" customHeight="1" x14ac:dyDescent="0.2">
      <c r="A84" s="1590" t="s">
        <v>3591</v>
      </c>
      <c r="B84" s="1590" t="s">
        <v>3590</v>
      </c>
      <c r="C84" s="1589" t="b">
        <v>0</v>
      </c>
      <c r="D84" s="1587"/>
      <c r="E84" s="1587"/>
    </row>
    <row r="85" spans="1:5" ht="12.75" customHeight="1" x14ac:dyDescent="0.2">
      <c r="A85" s="1590" t="s">
        <v>418</v>
      </c>
      <c r="B85" s="1590" t="s">
        <v>3589</v>
      </c>
      <c r="C85" s="1589" t="b">
        <v>1</v>
      </c>
      <c r="D85" s="1587"/>
      <c r="E85" s="1587"/>
    </row>
    <row r="86" spans="1:5" ht="12.75" customHeight="1" x14ac:dyDescent="0.2">
      <c r="A86" s="1590" t="s">
        <v>426</v>
      </c>
      <c r="B86" s="1590" t="s">
        <v>3674</v>
      </c>
      <c r="C86" s="1589" t="b">
        <v>1</v>
      </c>
      <c r="D86" s="1587"/>
      <c r="E86" s="1587"/>
    </row>
    <row r="87" spans="1:5" ht="12.75" customHeight="1" x14ac:dyDescent="0.2">
      <c r="A87" s="1590" t="s">
        <v>427</v>
      </c>
      <c r="B87" s="1590" t="s">
        <v>3675</v>
      </c>
      <c r="C87" s="1589" t="b">
        <v>1</v>
      </c>
      <c r="D87" s="1587"/>
      <c r="E87" s="1587"/>
    </row>
    <row r="88" spans="1:5" ht="12.75" customHeight="1" x14ac:dyDescent="0.2">
      <c r="A88" s="1590" t="s">
        <v>428</v>
      </c>
      <c r="B88" s="1590" t="s">
        <v>3676</v>
      </c>
      <c r="C88" s="1589" t="b">
        <v>1</v>
      </c>
      <c r="D88" s="1587"/>
      <c r="E88" s="1587"/>
    </row>
    <row r="89" spans="1:5" ht="12.75" customHeight="1" x14ac:dyDescent="0.2">
      <c r="A89" s="1590" t="s">
        <v>567</v>
      </c>
      <c r="B89" s="1590" t="s">
        <v>3677</v>
      </c>
      <c r="C89" s="1589" t="b">
        <v>1</v>
      </c>
      <c r="D89" s="1587"/>
      <c r="E89" s="1587"/>
    </row>
    <row r="90" spans="1:5" ht="12.75" customHeight="1" x14ac:dyDescent="0.2">
      <c r="A90" s="1590" t="s">
        <v>429</v>
      </c>
      <c r="B90" s="1590" t="s">
        <v>3588</v>
      </c>
      <c r="C90" s="1589" t="b">
        <v>1</v>
      </c>
      <c r="D90" s="1587"/>
      <c r="E90" s="1587"/>
    </row>
    <row r="91" spans="1:5" ht="12.75" customHeight="1" x14ac:dyDescent="0.2">
      <c r="A91" s="1590" t="s">
        <v>419</v>
      </c>
      <c r="B91" s="1590" t="s">
        <v>3587</v>
      </c>
      <c r="C91" s="1589" t="b">
        <v>1</v>
      </c>
      <c r="D91" s="1587"/>
      <c r="E91" s="1587"/>
    </row>
    <row r="92" spans="1:5" ht="12.75" customHeight="1" x14ac:dyDescent="0.2">
      <c r="A92" s="1590" t="s">
        <v>425</v>
      </c>
      <c r="B92" s="1590" t="s">
        <v>3586</v>
      </c>
      <c r="C92" s="1589" t="b">
        <v>1</v>
      </c>
      <c r="D92" s="1587"/>
      <c r="E92" s="1587"/>
    </row>
    <row r="93" spans="1:5" ht="12.75" customHeight="1" x14ac:dyDescent="0.2">
      <c r="A93" s="1590" t="s">
        <v>424</v>
      </c>
      <c r="B93" s="1590" t="s">
        <v>3585</v>
      </c>
      <c r="C93" s="1589" t="b">
        <v>1</v>
      </c>
      <c r="D93" s="1587"/>
      <c r="E93" s="1587"/>
    </row>
    <row r="94" spans="1:5" ht="12.75" customHeight="1" x14ac:dyDescent="0.2">
      <c r="A94" s="1590" t="s">
        <v>422</v>
      </c>
      <c r="B94" s="1590" t="s">
        <v>3584</v>
      </c>
      <c r="C94" s="1589" t="b">
        <v>1</v>
      </c>
      <c r="D94" s="1587"/>
      <c r="E94" s="1587"/>
    </row>
    <row r="95" spans="1:5" ht="12.75" customHeight="1" x14ac:dyDescent="0.2">
      <c r="A95" s="1590" t="s">
        <v>421</v>
      </c>
      <c r="B95" s="1590" t="s">
        <v>3583</v>
      </c>
      <c r="C95" s="1589" t="b">
        <v>1</v>
      </c>
      <c r="D95" s="1587"/>
      <c r="E95" s="1587"/>
    </row>
    <row r="96" spans="1:5" ht="12.75" customHeight="1" x14ac:dyDescent="0.2">
      <c r="A96" s="1590" t="s">
        <v>252</v>
      </c>
      <c r="B96" s="1590" t="s">
        <v>3582</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50" t="s">
        <v>1111</v>
      </c>
      <c r="C2" s="2050"/>
      <c r="D2" s="2050"/>
      <c r="E2" s="2050"/>
      <c r="F2" s="2050" t="s">
        <v>1112</v>
      </c>
      <c r="G2" s="2050"/>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51" t="s">
        <v>1163</v>
      </c>
      <c r="I2" s="2051"/>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2"/>
      <c r="B1" s="2052"/>
      <c r="C1" s="2052"/>
      <c r="D1" s="134"/>
      <c r="E1" s="134"/>
      <c r="F1" s="134"/>
      <c r="G1" s="134"/>
    </row>
    <row r="2" spans="1:9" ht="14.25" customHeight="1" x14ac:dyDescent="0.3">
      <c r="A2" s="2052"/>
      <c r="B2" s="2052"/>
      <c r="C2" s="2052"/>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8"/>
      <c r="D10" s="2058"/>
      <c r="E10" s="2054"/>
      <c r="F10" s="103"/>
      <c r="H10" s="2055"/>
      <c r="I10" s="2055"/>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6" t="s">
        <v>1282</v>
      </c>
      <c r="C39" s="2057"/>
      <c r="D39" s="2057"/>
      <c r="E39" s="2057"/>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9" t="s">
        <v>1290</v>
      </c>
      <c r="C64" s="2060"/>
      <c r="D64" s="2061"/>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B64:D64"/>
    <mergeCell ref="B56:C56"/>
    <mergeCell ref="B48:C48"/>
    <mergeCell ref="A1:C2"/>
    <mergeCell ref="B30:C30"/>
    <mergeCell ref="H10:I10"/>
    <mergeCell ref="B22:C22"/>
    <mergeCell ref="B39:E39"/>
    <mergeCell ref="B10:E1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&amp;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2025-09-12T11:43:38Z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