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D44D6D7A-5D61-439A-A79B-396C0DEF1A14}"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1"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22" i="28"/>
  <c r="H23" i="28"/>
  <c r="H24" i="28"/>
  <c r="H25" i="28"/>
  <c r="H26" i="28"/>
  <c r="H27" i="28"/>
  <c r="H28" i="28"/>
  <c r="H29" i="28"/>
  <c r="H30" i="28"/>
  <c r="H31" i="28"/>
  <c r="H32" i="28"/>
  <c r="H33" i="28"/>
  <c r="H17" i="28"/>
  <c r="H18" i="28"/>
  <c r="H19" i="28"/>
  <c r="H20" i="28"/>
  <c r="H21" i="28"/>
  <c r="H16" i="28"/>
  <c r="H3" i="28"/>
  <c r="BT36" i="28"/>
  <c r="BQ17" i="28"/>
  <c r="BQ18" i="28"/>
  <c r="BQ20" i="28"/>
  <c r="BQ21" i="28"/>
  <c r="BQ24" i="28"/>
  <c r="BQ25" i="28"/>
  <c r="BQ26" i="28"/>
  <c r="BQ27" i="28"/>
  <c r="BQ28" i="28"/>
  <c r="BQ29" i="28"/>
  <c r="BQ30" i="28"/>
  <c r="BQ31" i="28"/>
  <c r="BQ32" i="28"/>
  <c r="BQ33" i="28"/>
  <c r="BQ34" i="28"/>
  <c r="BS17" i="28"/>
  <c r="BS18" i="28"/>
  <c r="BS20" i="28"/>
  <c r="BS21" i="28"/>
  <c r="BS24" i="28"/>
  <c r="BS25" i="28"/>
  <c r="BS26" i="28"/>
  <c r="BS27" i="28"/>
  <c r="BS28" i="28"/>
  <c r="BS29" i="28"/>
  <c r="BS30" i="28"/>
  <c r="BS31" i="28"/>
  <c r="BS32" i="28"/>
  <c r="BS33"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s="1"/>
  <c r="V51" i="13" s="1"/>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BS19" i="28"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BS16" i="28"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BQ16" i="28" s="1"/>
  <c r="C111" i="10"/>
  <c r="F296" i="13" a="1"/>
  <c r="F296" i="13"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<sst xmlns="http://schemas.openxmlformats.org/spreadsheetml/2006/main" count="22833" uniqueCount="3694">
  <si>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</si>
  <si>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</si>
  <si>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</si>
  <si>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</si>
  <si>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</si>
  <si>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</si>
  <si>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</si>
  <si>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</si>
  <si>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</si>
  <si>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</si>
  <si>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</si>
  <si>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</si>
  <si>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</si>
  <si>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</si>
  <si>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</si>
  <si>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</si>
  <si>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</si>
  <si>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</si>
  <si>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</si>
  <si>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</si>
  <si>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</si>
  <si>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</si>
  <si>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</si>
  <si>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</si>
  <si>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</si>
  <si>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</si>
  <si>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</si>
  <si>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</si>
  <si>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</si>
  <si>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</si>
  <si>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</si>
  <si>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</si>
  <si>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</si>
  <si>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</si>
  <si>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</si>
  <si>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</si>
  <si>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</si>
  <si>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</si>
  <si>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</si>
  <si>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</si>
  <si>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</si>
  <si>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</si>
  <si>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</si>
  <si>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</si>
  <si>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</si>
  <si>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</si>
  <si>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</si>
  <si>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</si>
  <si>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</si>
  <si>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</si>
  <si>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</si>
  <si>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</si>
  <si>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</si>
  <si>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</si>
  <si>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</si>
  <si>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</si>
  <si>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</si>
  <si>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</si>
  <si>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</si>
  <si>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</si>
  <si>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</si>
  <si>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</si>
  <si>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</si>
  <si>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</si>
  <si>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</si>
  <si>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</si>
  <si>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</si>
  <si>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</si>
  <si>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</si>
  <si>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</si>
  <si>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</si>
  <si>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</si>
  <si>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</si>
  <si>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</si>
  <si>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</si>
  <si>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</si>
  <si>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</si>
  <si>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</si>
  <si>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</si>
  <si>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</si>
  <si>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</si>
  <si>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</si>
  <si>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</si>
  <si>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</si>
  <si>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</si>
  <si>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</si>
  <si>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</si>
  <si>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</si>
  <si>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</si>
  <si>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</si>
  <si>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</si>
  <si>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</si>
  <si>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</si>
  <si>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</si>
  <si>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</si>
  <si>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</si>
  <si>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</si>
  <si>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</si>
  <si>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</si>
  <si>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</si>
  <si>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</si>
  <si>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</si>
  <si>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</si>
  <si>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</si>
  <si>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</si>
  <si>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</si>
  <si>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</si>
  <si>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</si>
  <si>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</si>
  <si>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</si>
  <si>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</si>
  <si>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</si>
  <si>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</si>
  <si>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</si>
  <si>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</si>
  <si>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</si>
  <si>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</si>
  <si>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</si>
  <si>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</si>
  <si>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</si>
  <si>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</si>
  <si>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</si>
  <si>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</si>
  <si>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</si>
  <si>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</si>
  <si>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</si>
  <si>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</si>
  <si>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</si>
  <si>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</si>
  <si>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</si>
  <si>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</si>
  <si>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</si>
  <si>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</si>
  <si>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</si>
  <si>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</si>
  <si>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</si>
  <si>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</si>
  <si>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</si>
  <si>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</si>
  <si>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</si>
  <si>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</si>
  <si>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</si>
  <si>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</si>
  <si>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</si>
  <si>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</si>
  <si>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</si>
  <si>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</si>
  <si>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</si>
  <si>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</si>
  <si>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</si>
  <si>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</si>
  <si>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</si>
  <si>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</si>
  <si>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</si>
  <si>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</si>
  <si>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</si>
  <si>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</si>
  <si>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</si>
  <si>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</si>
  <si>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</si>
  <si>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</si>
  <si>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</si>
  <si>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</si>
  <si>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</si>
  <si>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</si>
  <si>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</si>
  <si>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</si>
  <si>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</si>
  <si>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</si>
  <si>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</si>
  <si>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</si>
  <si>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</si>
  <si>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</si>
  <si>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</si>
  <si>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</si>
  <si>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</si>
  <si>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</si>
  <si>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</si>
  <si>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</si>
  <si>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</si>
  <si>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</si>
  <si>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</si>
  <si>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</si>
  <si>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</si>
  <si>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</si>
  <si>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</si>
  <si>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</si>
  <si>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</si>
  <si>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</si>
  <si>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</si>
  <si>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</si>
  <si>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</si>
  <si>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</si>
  <si>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</si>
  <si>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</si>
  <si>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</si>
  <si>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</si>
  <si>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</si>
  <si>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</si>
  <si>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</si>
  <si>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</si>
  <si>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</si>
  <si>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</si>
  <si>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</si>
  <si>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</si>
  <si>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</si>
  <si>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</si>
  <si>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</si>
  <si>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</si>
  <si>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</si>
  <si>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</si>
  <si>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</si>
  <si>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</si>
  <si>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</si>
  <si>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</si>
  <si>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</si>
  <si>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</si>
  <si>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</si>
  <si>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</si>
  <si>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</si>
  <si>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</si>
  <si>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</si>
  <si>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</si>
  <si>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</si>
  <si>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</si>
  <si>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</si>
  <si>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</si>
  <si>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</si>
  <si>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</si>
  <si>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</si>
  <si>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</si>
  <si>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</si>
  <si>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</si>
  <si>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</si>
  <si>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</si>
  <si>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</si>
  <si>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</si>
  <si>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</si>
  <si>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</si>
  <si>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</si>
  <si>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</si>
  <si>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</si>
  <si>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</si>
  <si>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</si>
  <si>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</si>
  <si>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</si>
  <si>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</si>
  <si>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</si>
  <si>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</si>
  <si>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</si>
  <si>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</si>
  <si>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</si>
  <si>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</si>
  <si>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</si>
  <si>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</si>
  <si>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</si>
  <si>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</si>
  <si>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</si>
  <si>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</si>
  <si>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</si>
  <si>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</si>
  <si>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</si>
  <si>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</si>
  <si>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</si>
  <si>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</si>
  <si>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</si>
  <si>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</si>
  <si>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</si>
  <si>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</si>
  <si>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</si>
  <si>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</si>
  <si>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</si>
  <si>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</si>
  <si>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</si>
  <si>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</si>
  <si>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</si>
  <si>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</si>
  <si>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</si>
  <si>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</si>
  <si>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</si>
  <si>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</si>
  <si>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</si>
  <si>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</si>
  <si>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</si>
  <si>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</si>
  <si>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</si>
  <si>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</si>
  <si>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</si>
  <si>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</si>
  <si>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</si>
  <si>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</si>
  <si>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</si>
  <si>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</si>
  <si>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</si>
  <si>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</si>
  <si>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</si>
  <si>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</si>
  <si>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</si>
  <si>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</si>
  <si>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</si>
  <si>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</si>
  <si>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</si>
  <si>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</si>
  <si>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</si>
  <si>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</si>
  <si>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</si>
  <si>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</si>
  <si>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</si>
  <si>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</si>
  <si>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</si>
  <si>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</si>
  <si>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</si>
  <si>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</si>
  <si>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</si>
  <si>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</si>
  <si>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</si>
  <si>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</si>
  <si>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</si>
  <si>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</si>
  <si>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</si>
  <si>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</si>
  <si>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</si>
  <si>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</si>
  <si>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</si>
  <si>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</si>
  <si>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</si>
  <si>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</si>
  <si>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</si>
  <si>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</si>
  <si>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</si>
  <si>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</si>
  <si>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</si>
  <si>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</si>
  <si>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</si>
  <si>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</si>
  <si>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</si>
  <si>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</si>
  <si>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</si>
  <si>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</si>
  <si>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</si>
  <si>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</si>
  <si>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</si>
  <si>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</si>
  <si>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</si>
  <si>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</si>
  <si>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</si>
  <si>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</si>
  <si>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</si>
  <si>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</si>
  <si>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</si>
  <si>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</si>
  <si>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</si>
  <si>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</si>
  <si>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</si>
  <si>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</si>
  <si>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</si>
  <si>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</si>
  <si>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</si>
  <si>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</si>
  <si>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</si>
  <si>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</si>
  <si>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</si>
  <si>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</si>
  <si>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</si>
  <si>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</si>
  <si>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</si>
  <si>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</si>
  <si>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</si>
  <si>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</si>
  <si>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</si>
  <si>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</si>
  <si>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</si>
  <si>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</si>
  <si>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</si>
  <si>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</si>
  <si>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</si>
  <si>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</si>
  <si>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</si>
  <si>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</si>
  <si>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</si>
  <si>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</si>
  <si>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</si>
  <si>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</si>
  <si>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</si>
  <si>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</si>
  <si>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</si>
  <si>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</si>
  <si>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</si>
  <si>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</si>
  <si>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</si>
  <si>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</si>
  <si>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</si>
  <si>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</si>
  <si>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</si>
  <si>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</si>
  <si>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</si>
  <si>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</si>
  <si>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</si>
  <si>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</si>
  <si>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</si>
  <si>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</si>
  <si>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</si>
  <si>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</si>
  <si>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</si>
  <si>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</si>
  <si>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</si>
  <si>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</si>
  <si>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</si>
  <si>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</si>
  <si>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</si>
  <si>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</si>
  <si>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</si>
  <si>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</si>
  <si>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</si>
  <si>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</si>
  <si>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</si>
  <si>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</si>
  <si>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</si>
  <si>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</si>
  <si>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</si>
  <si>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</si>
  <si>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</si>
  <si>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</si>
  <si>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</si>
  <si>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</si>
  <si>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</si>
  <si>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</si>
  <si>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</si>
  <si>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</si>
  <si>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</si>
  <si>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</si>
  <si>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</si>
  <si>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</si>
  <si>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</si>
  <si>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</si>
  <si>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</si>
  <si>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</si>
  <si>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</si>
  <si>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</si>
  <si>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</si>
  <si>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</si>
  <si>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</si>
  <si>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</si>
  <si>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</si>
  <si>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</si>
  <si>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</si>
  <si>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</si>
  <si>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</si>
  <si>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</si>
  <si>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</si>
  <si>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</si>
  <si>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</si>
  <si>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</si>
  <si>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</si>
  <si>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</si>
  <si>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</si>
  <si>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</si>
  <si>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</si>
  <si>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</si>
  <si>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</si>
  <si>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</si>
  <si>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</si>
  <si>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</si>
  <si>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</si>
  <si>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</si>
  <si>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</si>
  <si>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</si>
  <si>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</si>
  <si>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</si>
  <si>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</si>
  <si>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</si>
  <si>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</si>
  <si>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</si>
  <si>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</si>
  <si>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</si>
  <si>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</si>
  <si>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</si>
  <si>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</si>
  <si>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</si>
  <si>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</si>
  <si>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</si>
  <si>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</si>
  <si>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</si>
  <si>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</si>
  <si>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</si>
  <si>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</si>
  <si>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</si>
  <si>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</si>
  <si>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</si>
  <si>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</si>
  <si>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</si>
  <si>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</si>
  <si>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</si>
  <si>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</si>
  <si>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</si>
  <si>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</si>
  <si>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</si>
  <si>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</si>
  <si>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</si>
  <si>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</si>
  <si>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</si>
  <si>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</si>
  <si>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</si>
  <si>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</si>
  <si>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</si>
  <si>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</si>
  <si>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</si>
  <si>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</si>
  <si>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</si>
  <si>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</si>
  <si>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</si>
  <si>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</si>
  <si>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</si>
  <si>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</si>
  <si>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</si>
  <si>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</si>
  <si>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</si>
  <si>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</si>
  <si>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</si>
  <si>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</si>
  <si>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</si>
  <si>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</si>
  <si>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</si>
  <si>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</si>
  <si>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</si>
  <si>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</si>
  <si>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</si>
  <si>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</si>
  <si>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</si>
  <si>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</si>
  <si>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</si>
  <si>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</si>
  <si>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</si>
  <si>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</si>
  <si>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</si>
  <si>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</si>
  <si>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</si>
  <si>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</si>
  <si>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</si>
  <si>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</si>
  <si>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</si>
  <si>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</si>
  <si>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</si>
  <si>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</si>
  <si>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</si>
  <si>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</si>
  <si>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</si>
  <si>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</si>
  <si>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</si>
  <si>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</si>
  <si>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</si>
  <si>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</si>
  <si>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</si>
  <si>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</si>
  <si>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</si>
  <si>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</si>
  <si>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</si>
  <si>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</si>
  <si>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</si>
  <si>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</si>
  <si>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</si>
  <si>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</si>
  <si>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</si>
  <si>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</si>
  <si>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</si>
  <si>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</si>
  <si>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</si>
  <si>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</si>
  <si>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</si>
  <si>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</si>
  <si>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</si>
  <si>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</si>
  <si>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</si>
  <si>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</si>
  <si>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</si>
  <si>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</si>
  <si>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</si>
  <si>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</si>
  <si>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</si>
  <si>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</si>
  <si>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</si>
  <si>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</si>
  <si>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</si>
  <si>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</si>
  <si>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</si>
  <si>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</si>
  <si>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</si>
  <si>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</si>
  <si>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</si>
  <si>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</si>
  <si>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</si>
  <si>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</si>
  <si>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</si>
  <si>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</si>
  <si>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</si>
  <si>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</si>
  <si>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</si>
  <si>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</si>
  <si>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</si>
  <si>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</si>
  <si>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</si>
  <si>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</si>
  <si>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</si>
  <si>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</si>
  <si>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</si>
  <si>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</si>
  <si>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</si>
  <si>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</si>
  <si>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</si>
  <si>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</si>
  <si>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</si>
  <si>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</si>
  <si>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</si>
  <si>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</si>
  <si>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</si>
  <si>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</si>
  <si>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</si>
  <si>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</si>
  <si>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</si>
  <si>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</si>
  <si>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</si>
  <si>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</si>
  <si>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</si>
  <si>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</si>
  <si>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</si>
  <si>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</si>
  <si>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</si>
  <si>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</si>
  <si>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</si>
  <si>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</si>
  <si>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</si>
  <si>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</si>
  <si>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</si>
  <si>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</si>
  <si>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</si>
  <si>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</si>
  <si>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</si>
  <si>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</si>
  <si>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</si>
  <si>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</si>
  <si>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</si>
  <si>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</si>
  <si>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</si>
  <si>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</si>
  <si>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</si>
  <si>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</si>
  <si>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</si>
  <si>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</si>
  <si>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</si>
  <si>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</si>
  <si>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</si>
  <si>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</si>
  <si>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</si>
  <si>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</si>
  <si>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</si>
  <si>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</si>
  <si>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</si>
  <si>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</si>
  <si>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</si>
  <si>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</si>
  <si>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</si>
  <si>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</si>
  <si>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</si>
  <si>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</si>
  <si>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</si>
  <si>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</si>
  <si>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</si>
  <si>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</si>
  <si>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</si>
  <si>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</si>
  <si>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</si>
  <si>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</si>
  <si>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</si>
  <si>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</si>
  <si>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</si>
  <si>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</si>
  <si>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</si>
  <si>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</si>
  <si>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</si>
  <si>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</si>
  <si>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</si>
  <si>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</si>
  <si>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</si>
  <si>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</si>
  <si>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</si>
  <si>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</si>
  <si>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</si>
  <si>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</si>
  <si>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</si>
  <si>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</si>
  <si>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</si>
  <si>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</si>
  <si>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</si>
  <si>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</si>
  <si>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</si>
  <si>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</si>
  <si>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</si>
  <si>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</si>
  <si>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</si>
  <si>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</si>
  <si>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</si>
  <si>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</si>
  <si>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</si>
  <si>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</si>
  <si>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</si>
  <si>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</si>
  <si>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</si>
  <si>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</si>
  <si>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</si>
  <si>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</si>
  <si>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</si>
  <si>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</si>
  <si>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</si>
  <si>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</si>
  <si>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</si>
  <si>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</si>
  <si>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</si>
  <si>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</si>
  <si>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</si>
  <si>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</si>
  <si>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</si>
  <si>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</si>
  <si>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</si>
  <si>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</si>
  <si>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</si>
  <si>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</si>
  <si>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</si>
  <si>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</si>
  <si>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</si>
  <si>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</si>
  <si>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</si>
  <si>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</si>
  <si>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</si>
  <si>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</si>
  <si>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</si>
  <si>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</si>
  <si>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</si>
  <si>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</si>
  <si>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</si>
  <si>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</si>
  <si>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</si>
  <si>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</si>
  <si>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</si>
  <si>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</si>
  <si>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</si>
  <si>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</si>
  <si>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</si>
  <si>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</si>
  <si>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</si>
  <si>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</si>
  <si>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</si>
  <si>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</si>
  <si>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</si>
  <si>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</si>
  <si>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</si>
  <si>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</si>
  <si>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</si>
  <si>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</si>
  <si>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</si>
  <si>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</si>
  <si>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</si>
  <si>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</si>
  <si>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</si>
  <si>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</si>
  <si>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</si>
  <si>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</si>
  <si>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</si>
  <si>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</si>
  <si>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</si>
  <si>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</si>
  <si>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</si>
  <si>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</si>
  <si>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</si>
  <si>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</si>
  <si>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</si>
  <si>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</si>
  <si>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</si>
  <si>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</si>
  <si>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</si>
  <si>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</si>
  <si>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</si>
  <si>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</si>
  <si>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</si>
  <si>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</si>
  <si>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</si>
  <si>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</si>
  <si>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</si>
  <si>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</si>
  <si>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</si>
  <si>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</si>
  <si>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</si>
  <si>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</si>
  <si>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</si>
  <si>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</si>
  <si>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</si>
  <si>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</si>
  <si>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</si>
  <si>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</si>
  <si>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</si>
  <si>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</si>
  <si>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</si>
  <si>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</si>
  <si>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</si>
  <si>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</si>
  <si>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</si>
  <si>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</si>
  <si>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</si>
  <si>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</si>
  <si>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</si>
  <si>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</si>
  <si>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</si>
  <si>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</si>
  <si>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</si>
  <si>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</si>
  <si>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</si>
  <si>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</si>
  <si>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</si>
  <si>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</si>
  <si>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</si>
  <si>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</si>
  <si>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</si>
  <si>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</si>
  <si>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</si>
  <si>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</si>
  <si>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</si>
  <si>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</si>
  <si>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</si>
  <si>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</si>
  <si>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</si>
  <si>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</si>
  <si>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</si>
  <si>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</si>
  <si>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</si>
  <si>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</si>
  <si>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</si>
  <si>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</si>
  <si>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</si>
  <si>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</si>
  <si>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</si>
  <si>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</si>
  <si>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</si>
  <si>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</si>
  <si>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</si>
  <si>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</si>
  <si>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</si>
  <si>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</si>
  <si>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</si>
  <si>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</si>
  <si>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</si>
  <si>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</si>
  <si>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</si>
  <si>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</si>
  <si>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</si>
  <si>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</si>
  <si>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</si>
  <si>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</si>
  <si>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</si>
  <si>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</si>
  <si>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</si>
  <si>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</si>
  <si>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</si>
  <si>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</si>
  <si>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</si>
  <si>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</si>
  <si>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</si>
  <si>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</si>
  <si>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</si>
  <si>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</si>
  <si>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</si>
  <si>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</si>
  <si>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</si>
  <si>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</si>
  <si>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</si>
  <si>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</si>
  <si>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</si>
  <si>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</si>
  <si>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</si>
  <si>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</si>
  <si>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</si>
  <si>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</si>
  <si>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</si>
  <si>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</si>
  <si>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</si>
  <si>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</si>
  <si>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</si>
  <si>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</si>
  <si>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</si>
  <si>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</si>
  <si>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</si>
  <si>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</si>
  <si>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</si>
  <si>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</si>
  <si>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</si>
  <si>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</si>
  <si>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</si>
  <si>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</si>
  <si>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</si>
  <si>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</si>
  <si>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</si>
  <si>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</si>
  <si>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</si>
  <si>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</si>
  <si>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</si>
  <si>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</si>
  <si>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</si>
  <si>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</si>
  <si>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</si>
  <si>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</si>
  <si>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</si>
  <si>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</si>
  <si>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</si>
  <si>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</si>
  <si>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</si>
  <si>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</si>
  <si>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</si>
  <si>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</si>
  <si>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</si>
  <si>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</si>
  <si>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</si>
  <si>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</si>
  <si>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</si>
  <si>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</si>
  <si>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</si>
  <si>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</si>
  <si>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</si>
  <si>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</si>
  <si>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</si>
  <si>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</si>
  <si>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</si>
  <si>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</si>
  <si>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</si>
  <si>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</si>
  <si>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</si>
  <si>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</si>
  <si>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</si>
  <si>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</si>
  <si>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</si>
  <si>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</si>
  <si>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</si>
  <si>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</si>
  <si>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</si>
  <si>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</si>
  <si>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</si>
  <si>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</si>
  <si>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</si>
  <si>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</si>
  <si>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</si>
  <si>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</si>
  <si>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</si>
  <si>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</si>
  <si>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</si>
  <si>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</si>
  <si>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</si>
  <si>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</si>
  <si>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</si>
  <si>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</si>
  <si>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</si>
  <si>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</si>
  <si>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</si>
  <si>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</si>
  <si>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</si>
  <si>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</si>
  <si>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</si>
  <si>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</si>
  <si>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</si>
  <si>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</si>
  <si>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</si>
  <si>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</si>
  <si>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</si>
  <si>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</si>
  <si>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</si>
  <si>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</si>
  <si>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</si>
  <si>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</si>
  <si>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</si>
  <si>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</si>
  <si>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</si>
  <si>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</si>
  <si>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</si>
  <si>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</si>
  <si>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</si>
  <si>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</si>
  <si>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</si>
  <si>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</si>
  <si>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</si>
  <si>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</si>
  <si>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</si>
  <si>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</si>
  <si>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</si>
  <si>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</si>
  <si>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</si>
  <si>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</si>
  <si>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</si>
  <si>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</si>
  <si>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</si>
  <si>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</si>
  <si>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</si>
  <si>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</si>
  <si>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</si>
  <si>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</si>
  <si>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</si>
  <si>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</si>
  <si>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</si>
  <si>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</si>
  <si>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</si>
  <si>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</si>
  <si>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</si>
  <si>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</si>
  <si>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</si>
  <si>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</si>
  <si>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</si>
  <si>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</si>
  <si>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</si>
  <si>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</si>
  <si>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</si>
  <si>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</si>
  <si>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</si>
  <si>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</si>
  <si>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</si>
  <si>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</si>
  <si>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</si>
  <si>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</si>
  <si>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</si>
  <si>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</si>
  <si>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</si>
  <si>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</si>
  <si>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</si>
  <si>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</si>
  <si>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</si>
  <si>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</si>
  <si>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</si>
  <si>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</si>
  <si>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</si>
  <si>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</si>
  <si>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</si>
  <si>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</si>
  <si>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</si>
  <si>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</si>
  <si>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</si>
  <si>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</si>
  <si>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</si>
  <si>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</si>
  <si>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</si>
  <si>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</si>
  <si>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</si>
  <si>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</si>
  <si>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</si>
  <si>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</si>
  <si>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</si>
  <si>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</si>
  <si>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</si>
  <si>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</si>
  <si>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</si>
  <si>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</si>
  <si>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</si>
  <si>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</si>
  <si>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</si>
  <si>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</si>
  <si>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</si>
  <si>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</si>
  <si>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</si>
  <si>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</si>
  <si>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</si>
  <si>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</si>
  <si>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</si>
  <si>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</si>
  <si>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</si>
  <si>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</si>
  <si>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</si>
  <si>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</si>
  <si>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</si>
  <si>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</si>
  <si>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</si>
  <si>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</si>
  <si>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</si>
  <si>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</si>
  <si>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</si>
  <si>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</si>
  <si>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</si>
  <si>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</si>
  <si>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</si>
  <si>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</si>
  <si>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</si>
  <si>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</si>
  <si>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</si>
  <si>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</si>
  <si>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</si>
  <si>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</si>
  <si>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</si>
  <si>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</si>
  <si>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</si>
  <si>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</si>
  <si>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</si>
  <si>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</si>
  <si>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</si>
  <si>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</si>
  <si>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</si>
  <si>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</si>
  <si>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</si>
  <si>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</si>
  <si>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</si>
  <si>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</si>
  <si>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</si>
  <si>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</si>
  <si>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</si>
  <si>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</si>
  <si>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</si>
  <si>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</si>
  <si>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</si>
  <si>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</si>
  <si>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</si>
  <si>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</si>
  <si>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</si>
  <si>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</si>
  <si>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</si>
  <si>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</si>
  <si>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</si>
  <si>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</si>
  <si>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</si>
  <si>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</si>
  <si>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</si>
  <si>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</si>
  <si>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</si>
  <si>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</si>
  <si>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</si>
  <si>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</si>
  <si>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</si>
  <si>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</si>
  <si>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</si>
  <si>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</si>
  <si>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</si>
  <si>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</si>
  <si>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</si>
  <si>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</si>
  <si>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</si>
  <si>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</si>
  <si>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</si>
  <si>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</si>
  <si>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</si>
  <si>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</si>
  <si>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</si>
  <si>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</si>
  <si>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</si>
  <si>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</si>
  <si>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</si>
  <si>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</si>
  <si>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</si>
  <si>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</si>
  <si>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</si>
  <si>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</si>
  <si>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</si>
  <si>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</si>
  <si>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</si>
  <si>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</si>
  <si>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</si>
  <si>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</si>
  <si>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</si>
  <si>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</si>
  <si>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</si>
  <si>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</si>
  <si>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</si>
  <si>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</si>
  <si>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</si>
  <si>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</si>
  <si>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</si>
  <si>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</si>
  <si>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</si>
  <si>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</si>
  <si>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</si>
  <si>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</si>
  <si>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</si>
  <si>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</si>
  <si>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</si>
  <si>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</si>
  <si>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</si>
  <si>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</si>
  <si>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</si>
  <si>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</si>
  <si>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</si>
  <si>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</si>
  <si>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</si>
  <si>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</si>
  <si>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</si>
  <si>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</si>
  <si>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</si>
  <si>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</si>
  <si>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</si>
  <si>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</si>
  <si>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</si>
  <si>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</si>
  <si>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</si>
  <si>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</si>
  <si>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</si>
  <si>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</si>
  <si>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</si>
  <si>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</si>
  <si>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</si>
  <si>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</si>
  <si>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</si>
  <si>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</si>
  <si>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</si>
  <si>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</si>
  <si>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</si>
  <si>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</si>
  <si>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</si>
  <si>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</si>
  <si>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</si>
  <si>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</si>
  <si>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</si>
  <si>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</si>
  <si>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</si>
  <si>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</si>
  <si>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</si>
  <si>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</si>
  <si>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</si>
  <si>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</si>
  <si>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</si>
  <si>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</si>
  <si>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</si>
  <si>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</si>
  <si>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</si>
  <si>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</si>
  <si>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</si>
  <si>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</si>
  <si>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</si>
  <si>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</si>
  <si>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</si>
  <si>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</si>
  <si>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</si>
  <si>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</si>
  <si>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</si>
  <si>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</si>
  <si>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</si>
  <si>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</si>
  <si>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</si>
  <si>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</si>
  <si>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</si>
  <si>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</si>
  <si>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</si>
  <si>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</si>
  <si>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</si>
  <si>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</si>
  <si>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</si>
  <si>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</si>
  <si>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</si>
  <si>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</si>
  <si>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</si>
  <si>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</si>
  <si>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</si>
  <si>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</si>
  <si>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</si>
  <si>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</si>
  <si>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</si>
  <si>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</si>
  <si>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</si>
  <si>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</si>
  <si>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</si>
  <si>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</si>
  <si>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</si>
  <si>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</si>
  <si>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</si>
  <si>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</si>
  <si>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</si>
  <si>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</si>
  <si>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</si>
  <si>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</si>
  <si>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</si>
  <si>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</si>
  <si>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</si>
  <si>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</si>
  <si>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</si>
  <si>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</si>
  <si>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</si>
  <si>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</si>
  <si>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</si>
  <si>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</si>
  <si>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</si>
  <si>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</si>
  <si>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</si>
  <si>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</si>
  <si>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</si>
  <si>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</si>
  <si>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</si>
  <si>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</si>
  <si>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</si>
  <si>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</si>
  <si>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</si>
  <si>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</si>
  <si>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</si>
  <si>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</si>
  <si>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</si>
  <si>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</si>
  <si>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</si>
  <si>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</si>
  <si>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</si>
  <si>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</si>
  <si>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</si>
  <si>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</si>
  <si>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</si>
  <si>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</si>
  <si>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</si>
  <si>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</si>
  <si>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</si>
  <si>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</si>
  <si>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</si>
  <si>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</si>
  <si>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</si>
  <si>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</si>
  <si>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</si>
  <si>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</si>
  <si>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</si>
  <si>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</si>
  <si>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</si>
  <si>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</si>
  <si>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</si>
  <si>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</si>
  <si>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</si>
  <si>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</si>
  <si>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</si>
  <si>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</si>
  <si>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</si>
  <si>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</si>
  <si>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</si>
  <si>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</si>
  <si>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</si>
  <si>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</si>
  <si>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</si>
  <si>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</si>
  <si>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</si>
  <si>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</si>
  <si>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</si>
  <si>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</si>
  <si>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</si>
  <si>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</si>
  <si>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</si>
  <si>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</si>
  <si>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</si>
  <si>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</si>
  <si>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</si>
  <si>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</si>
  <si>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</si>
  <si>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</si>
  <si>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</si>
  <si>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</si>
  <si>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</si>
  <si>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</si>
  <si>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</si>
  <si>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</si>
  <si>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</si>
  <si>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</si>
  <si>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</si>
  <si>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</si>
  <si>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</si>
  <si>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</si>
  <si>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</si>
  <si>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</si>
  <si>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</si>
  <si>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</si>
  <si>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</si>
  <si>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</si>
  <si>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</si>
  <si>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</si>
  <si>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</si>
  <si>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</si>
  <si>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</si>
  <si>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</si>
  <si>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</si>
  <si>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</si>
  <si>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</si>
  <si>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</si>
  <si>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</si>
  <si>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</si>
  <si>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</si>
  <si>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</si>
  <si>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</si>
  <si>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</si>
  <si>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</si>
  <si>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</si>
  <si>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</si>
  <si>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</si>
  <si>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</si>
  <si>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</si>
  <si>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</si>
  <si>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</si>
  <si>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</si>
  <si>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</si>
  <si>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</si>
  <si>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</si>
  <si>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</si>
  <si>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</si>
  <si>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</si>
  <si>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</si>
  <si>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</si>
  <si>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</si>
  <si>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</si>
  <si>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</si>
  <si>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</si>
  <si>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</si>
  <si>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</si>
  <si>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</si>
  <si>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</si>
  <si>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</si>
  <si>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</si>
  <si>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</si>
  <si>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</si>
  <si>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</si>
  <si>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</si>
  <si>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</si>
  <si>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</si>
  <si>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</si>
  <si>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</si>
  <si>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</si>
  <si>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</si>
  <si>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</si>
  <si>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</si>
  <si>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</si>
  <si>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</si>
  <si>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</si>
  <si>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</si>
  <si>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</si>
  <si>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</si>
  <si>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</si>
  <si>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</si>
  <si>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</si>
  <si>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</si>
  <si>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</si>
  <si>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</si>
  <si>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</si>
  <si>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</si>
  <si>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</si>
  <si>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</si>
  <si>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</si>
  <si>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</si>
  <si>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</si>
  <si>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</si>
  <si>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</si>
  <si>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</si>
  <si>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</si>
  <si>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</si>
  <si>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</si>
  <si>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</si>
  <si>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</si>
  <si>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</si>
  <si>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</si>
  <si>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</si>
  <si>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</si>
  <si>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</si>
  <si>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</si>
  <si>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</si>
  <si>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</si>
  <si>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</si>
  <si>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</si>
  <si>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</si>
  <si>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</si>
  <si>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</si>
  <si>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</si>
  <si>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</si>
  <si>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</si>
  <si>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</si>
  <si>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</si>
  <si>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</si>
  <si>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</si>
  <si>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</si>
  <si>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</si>
  <si>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</si>
  <si>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</si>
  <si>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</si>
  <si>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</si>
  <si>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</si>
  <si>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</si>
  <si>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</si>
  <si>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</si>
  <si>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</si>
  <si>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</si>
  <si>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</si>
  <si>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</si>
  <si>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</si>
  <si>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</si>
  <si>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</si>
  <si>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</si>
  <si>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</si>
  <si>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</si>
  <si>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</si>
  <si>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</si>
  <si>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</si>
  <si>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</si>
  <si>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</si>
  <si>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</si>
  <si>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</si>
  <si>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</si>
  <si>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</si>
  <si>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</si>
  <si>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</si>
  <si>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</si>
  <si>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</si>
  <si>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</si>
  <si>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</si>
  <si>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</si>
  <si>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</si>
  <si>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</si>
  <si>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</si>
  <si>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</si>
  <si>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</si>
  <si>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</si>
  <si>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</si>
  <si>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</si>
  <si>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</si>
  <si>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</si>
  <si>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</si>
  <si>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</si>
  <si>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</si>
  <si>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</si>
  <si>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</si>
  <si>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</si>
  <si>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</si>
  <si>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</si>
  <si>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</si>
  <si>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</si>
  <si>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</si>
  <si>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</si>
  <si>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</si>
  <si>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</si>
  <si>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</si>
  <si>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</si>
  <si>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</si>
  <si>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</si>
  <si>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</si>
  <si>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</si>
  <si>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</si>
  <si>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</si>
  <si>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</si>
  <si>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</si>
  <si>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</si>
  <si>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</si>
  <si>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</si>
  <si>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</si>
  <si>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</si>
  <si>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</si>
  <si>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</si>
  <si>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</si>
  <si>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</si>
  <si>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</si>
  <si>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</si>
  <si>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</si>
  <si>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</si>
  <si>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</si>
  <si>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</si>
  <si>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</si>
  <si>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</si>
  <si>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</si>
  <si>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</si>
  <si>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</si>
  <si>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</si>
  <si>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</si>
  <si>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</si>
  <si>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</si>
  <si>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</si>
  <si>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</si>
  <si>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</si>
  <si>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</si>
  <si>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</si>
  <si>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</si>
  <si>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</si>
  <si>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</si>
  <si>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</si>
  <si>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</si>
  <si>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</si>
  <si>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</si>
  <si>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</si>
  <si>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</si>
  <si>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</si>
  <si>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</si>
  <si>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</si>
  <si>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</si>
  <si>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</si>
  <si>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</si>
  <si>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</si>
  <si>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</si>
  <si>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</si>
  <si>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</si>
  <si>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</si>
  <si>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</si>
  <si>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</si>
  <si>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</si>
  <si>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</si>
  <si>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</si>
  <si>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</si>
  <si>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</si>
  <si>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</si>
  <si>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</si>
  <si>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</si>
  <si>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</si>
  <si>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</si>
  <si>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</si>
  <si>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</si>
  <si>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</si>
  <si>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</si>
  <si>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</si>
  <si>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</si>
  <si>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</si>
  <si>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</si>
  <si>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</si>
  <si>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</si>
  <si>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</si>
  <si>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</si>
  <si>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</si>
  <si>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</si>
  <si>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</si>
  <si>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</si>
  <si>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</si>
  <si>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</si>
  <si>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</si>
  <si>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</si>
  <si>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</si>
  <si>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</si>
  <si>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</si>
  <si>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</si>
  <si>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</si>
  <si>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</si>
  <si>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</si>
  <si>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</si>
  <si>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</si>
  <si>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</si>
  <si>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</si>
  <si>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</si>
  <si>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</si>
  <si>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</si>
  <si>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</si>
  <si>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</si>
  <si>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</si>
  <si>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</si>
  <si>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</si>
  <si>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</si>
  <si>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</si>
  <si>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</si>
  <si>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</si>
  <si>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</si>
  <si>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</si>
  <si>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</si>
  <si>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</si>
  <si>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</si>
  <si>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</si>
  <si>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</si>
  <si>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</si>
  <si>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</si>
  <si>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</si>
  <si>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</si>
  <si>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</si>
  <si>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</si>
  <si>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</si>
  <si>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</si>
  <si>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</si>
  <si>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</si>
  <si>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</si>
  <si>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</si>
  <si>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</si>
  <si>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</si>
  <si>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</si>
  <si>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</si>
  <si>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</si>
  <si>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</si>
  <si>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</si>
  <si>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</si>
  <si>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</si>
  <si>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</si>
  <si>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</si>
  <si>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</si>
  <si>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</si>
  <si>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</si>
  <si>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</si>
  <si>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</si>
  <si>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</si>
  <si>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</si>
  <si>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</si>
  <si>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</si>
  <si>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</si>
  <si>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</si>
  <si>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</si>
  <si>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</si>
  <si>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</si>
  <si>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</si>
  <si>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</si>
  <si>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</si>
  <si>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</si>
  <si>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</si>
  <si>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</si>
  <si>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</si>
  <si>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</si>
  <si>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</si>
  <si>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</si>
  <si>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</si>
  <si>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</si>
  <si>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</si>
  <si>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</si>
  <si>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</si>
  <si>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</si>
  <si>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</si>
  <si>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</si>
  <si>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</si>
  <si>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</si>
  <si>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</si>
  <si>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</si>
  <si>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</si>
  <si>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</si>
  <si>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</si>
  <si>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</si>
  <si>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</si>
  <si>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</si>
  <si>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</si>
  <si>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</si>
  <si>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</si>
  <si>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</si>
  <si>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</si>
  <si>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</si>
  <si>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</si>
  <si>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</si>
  <si>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</si>
  <si>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</si>
  <si>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</si>
  <si>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</si>
  <si>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</si>
  <si>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</si>
  <si>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</si>
  <si>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</si>
  <si>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</si>
  <si>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</si>
  <si>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</si>
  <si>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</si>
  <si>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</si>
  <si>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</si>
  <si>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</si>
  <si>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</si>
  <si>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</si>
  <si>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</si>
  <si>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</si>
  <si>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</si>
  <si>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</si>
  <si>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</si>
  <si>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</si>
  <si>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</si>
  <si>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</si>
  <si>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</si>
  <si>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</si>
  <si>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</si>
  <si>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</si>
  <si>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</si>
  <si>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</si>
  <si>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</si>
  <si>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</si>
  <si>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</si>
  <si>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</si>
  <si>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</si>
  <si>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</si>
  <si>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</si>
  <si>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</si>
  <si>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</si>
  <si>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</si>
  <si>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</si>
  <si>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</si>
  <si>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</si>
  <si>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</si>
  <si>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</si>
  <si>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</si>
  <si>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</si>
  <si>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</si>
  <si>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</si>
  <si>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</si>
  <si>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</si>
  <si>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</si>
  <si>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</si>
  <si>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</si>
  <si>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</si>
  <si>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</si>
  <si>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</si>
  <si>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</si>
  <si>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</si>
  <si>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</si>
  <si>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</si>
  <si>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</si>
  <si>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</si>
  <si>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</si>
  <si>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</si>
  <si>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</si>
  <si>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</si>
  <si>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</si>
  <si>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</si>
  <si>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</si>
  <si>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</si>
  <si>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</si>
  <si>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</si>
  <si>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</si>
  <si>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</si>
  <si>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</si>
  <si>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</si>
  <si>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</si>
  <si>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</si>
  <si>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</si>
  <si>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</si>
  <si>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</si>
  <si>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</si>
  <si>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</si>
  <si>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</si>
  <si>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</si>
  <si>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</si>
  <si>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</si>
  <si>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</si>
  <si>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</si>
  <si>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</si>
  <si>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</si>
  <si>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</si>
  <si>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</si>
  <si>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</si>
  <si>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</si>
  <si>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</si>
  <si>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</si>
  <si>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</si>
  <si>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</si>
  <si>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</si>
  <si>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</si>
  <si>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</si>
  <si>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</si>
  <si>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</si>
  <si>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</si>
  <si>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</si>
  <si>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</si>
  <si>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</si>
  <si>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</si>
  <si>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</si>
  <si>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</si>
  <si>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</si>
  <si>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</si>
  <si>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</si>
  <si>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</si>
  <si>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</si>
  <si>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</si>
  <si>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</si>
  <si>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</si>
  <si>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</si>
  <si>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</si>
  <si>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</si>
  <si>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</si>
  <si>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</si>
  <si>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</si>
  <si>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</si>
  <si>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</si>
  <si>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</si>
  <si>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</si>
  <si>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</si>
  <si>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</si>
  <si>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</si>
  <si>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</si>
  <si>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</si>
  <si>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</si>
  <si>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</si>
  <si>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</si>
  <si>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</si>
  <si>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</si>
  <si>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</si>
  <si>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</si>
  <si>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</si>
  <si>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</si>
  <si>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</si>
  <si>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</si>
  <si>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</si>
  <si>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</si>
  <si>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</si>
  <si>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</si>
  <si>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</si>
  <si>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</si>
  <si>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</si>
  <si>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</si>
  <si>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</si>
  <si>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</si>
  <si>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</si>
  <si>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</si>
  <si>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</si>
  <si>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</si>
  <si>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</si>
  <si>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</si>
  <si>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</si>
  <si>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</si>
  <si>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</si>
  <si>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</si>
  <si>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</si>
  <si>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</si>
  <si>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</si>
  <si>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</si>
  <si>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</si>
  <si>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</si>
  <si>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</si>
  <si>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</si>
  <si>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</si>
  <si>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</si>
  <si>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</si>
  <si>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</si>
  <si>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</si>
  <si>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</si>
  <si>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</si>
  <si>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</si>
  <si>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</si>
  <si>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</si>
  <si>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</si>
  <si>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</si>
  <si>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</si>
  <si>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</si>
  <si>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</si>
  <si>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</si>
  <si>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</si>
  <si>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</si>
  <si>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</si>
  <si>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</si>
  <si>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</si>
  <si>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</si>
  <si>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</si>
  <si>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</si>
  <si>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</si>
  <si>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</si>
  <si>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</si>
  <si>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</si>
  <si>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</si>
  <si>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</si>
  <si>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</si>
  <si>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</si>
  <si>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</si>
  <si>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</si>
  <si>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</si>
  <si>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</si>
  <si>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</si>
  <si>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</si>
  <si>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</si>
  <si>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</si>
  <si>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</si>
  <si>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</si>
  <si>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</si>
  <si>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</si>
  <si>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</si>
  <si>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</si>
  <si>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</si>
  <si>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</si>
  <si>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</si>
  <si>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</si>
  <si>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</si>
  <si>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</si>
  <si>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</si>
  <si>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</si>
  <si>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</si>
  <si>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</si>
  <si>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</si>
  <si>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</si>
  <si>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</si>
  <si>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</si>
  <si>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</si>
  <si>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</si>
  <si>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</si>
  <si>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</si>
  <si>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</si>
  <si>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</si>
  <si>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</si>
  <si>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</si>
  <si>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</si>
  <si>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</si>
  <si>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</si>
  <si>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</si>
  <si>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</si>
  <si>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</si>
  <si>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</si>
  <si>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</si>
  <si>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</si>
  <si>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</si>
  <si>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</si>
  <si>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</si>
  <si>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</si>
  <si>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</si>
  <si>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</si>
  <si>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</si>
  <si>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</si>
  <si>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</si>
  <si>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</si>
  <si>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</si>
  <si>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</si>
  <si>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</si>
  <si>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</si>
  <si>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</si>
  <si>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</si>
  <si>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</si>
  <si>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</si>
  <si>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</si>
  <si>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</si>
  <si>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</si>
  <si>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</si>
  <si>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</si>
  <si>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</si>
  <si>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</si>
  <si>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</si>
  <si>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</si>
  <si>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</si>
  <si>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</si>
  <si>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</si>
  <si>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</si>
  <si>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</si>
  <si>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</si>
  <si>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</si>
  <si>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</si>
  <si>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</si>
  <si>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</si>
  <si>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</si>
  <si>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</si>
  <si>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</si>
  <si>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</si>
  <si>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</si>
  <si>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</si>
  <si>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</si>
  <si>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</si>
  <si>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</si>
  <si>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</si>
  <si>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</si>
  <si>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</si>
  <si>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</si>
  <si>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</si>
  <si>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</si>
  <si>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</si>
  <si>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</si>
  <si>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</si>
  <si>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</si>
  <si>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</si>
  <si>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</si>
  <si>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</si>
  <si>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</si>
  <si>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</si>
  <si>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</si>
  <si>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</si>
  <si>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</si>
  <si>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</si>
  <si>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</si>
  <si>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</si>
  <si>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</si>
  <si>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</si>
  <si>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</si>
  <si>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</si>
  <si>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</si>
  <si>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</si>
  <si>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</si>
  <si>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</si>
  <si>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</si>
  <si>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</si>
  <si>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</si>
  <si>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</si>
  <si>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</si>
  <si>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</si>
  <si>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</si>
  <si>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</si>
  <si>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</si>
  <si>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</si>
  <si>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</si>
  <si>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</si>
  <si>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</si>
  <si>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</si>
  <si>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</si>
  <si>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</si>
  <si>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</si>
  <si>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</si>
  <si>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</si>
  <si>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</si>
  <si>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</si>
  <si>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</si>
  <si>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</si>
  <si>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</si>
  <si>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</si>
  <si>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</si>
  <si>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</si>
  <si>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</si>
  <si>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</si>
  <si>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</si>
  <si>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</si>
  <si>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</si>
  <si>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</si>
  <si>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</si>
  <si>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</si>
  <si>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</si>
  <si>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</si>
  <si>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</si>
  <si>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</si>
  <si>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</si>
  <si>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</si>
  <si>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</si>
  <si>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</si>
  <si>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</si>
  <si>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</si>
  <si>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</si>
  <si>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</si>
  <si>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</si>
  <si>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</si>
  <si>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</si>
  <si>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</si>
  <si>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</si>
  <si>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</si>
  <si>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</si>
  <si>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</si>
  <si>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</si>
  <si>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</si>
  <si>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</si>
  <si>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</si>
  <si>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</si>
  <si>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</si>
  <si>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</si>
  <si>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</si>
  <si>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</si>
  <si>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</si>
  <si>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</si>
  <si>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</si>
  <si>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</si>
  <si>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</si>
  <si>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</si>
  <si>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</si>
  <si>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</si>
  <si>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</si>
  <si>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</si>
  <si>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</si>
  <si>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</si>
  <si>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</si>
  <si>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</si>
  <si>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</si>
  <si>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</si>
  <si>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</si>
  <si>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</si>
  <si>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</si>
  <si>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</si>
  <si>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</si>
  <si>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</si>
  <si>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</si>
  <si>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</si>
  <si>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</si>
  <si>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</si>
  <si>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</si>
  <si>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</si>
  <si>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</si>
  <si>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</si>
  <si>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</si>
  <si>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</si>
  <si>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</si>
  <si>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</si>
  <si>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</si>
  <si>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</si>
  <si>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</si>
  <si>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</si>
  <si>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</si>
  <si>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</si>
  <si>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</si>
  <si>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</si>
  <si>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</si>
  <si>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</si>
  <si>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</si>
  <si>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</si>
  <si>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</si>
  <si>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</si>
  <si>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</si>
  <si>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</si>
  <si>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</si>
  <si>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</si>
  <si>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</si>
  <si>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</si>
  <si>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</si>
  <si>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</si>
  <si>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</si>
  <si>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</si>
  <si>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</si>
  <si>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</si>
  <si>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</si>
  <si>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</si>
  <si>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</si>
  <si>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</si>
  <si>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</si>
  <si>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</si>
  <si>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</si>
  <si>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</si>
  <si>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</si>
  <si>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</si>
  <si>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</si>
  <si>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</si>
  <si>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</si>
  <si>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</si>
  <si>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</si>
  <si>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</si>
  <si>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</si>
  <si>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</si>
  <si>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</si>
  <si>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</si>
  <si>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</si>
  <si>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</si>
  <si>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</si>
  <si>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</si>
  <si>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</si>
  <si>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</si>
  <si>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</si>
  <si>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</si>
  <si>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</si>
  <si>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</si>
  <si>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</si>
  <si>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</si>
  <si>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</si>
  <si>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</si>
  <si>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</si>
  <si>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</si>
  <si>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</si>
  <si>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</si>
  <si>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</si>
  <si>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</si>
  <si>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</si>
  <si>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</si>
  <si>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</si>
  <si>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</si>
  <si>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</si>
  <si>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</si>
  <si>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</si>
  <si>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</si>
  <si>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</si>
  <si>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</si>
  <si>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</si>
  <si>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</si>
  <si>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</si>
  <si>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</si>
  <si>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</si>
  <si>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</si>
  <si>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</si>
  <si>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</si>
  <si>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</si>
  <si>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</si>
  <si>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</si>
  <si>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</si>
  <si>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</si>
  <si>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</si>
  <si>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</si>
  <si>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</si>
  <si>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</si>
  <si>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</si>
  <si>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</si>
  <si>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</si>
  <si>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</si>
  <si>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</si>
  <si>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</si>
  <si>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</si>
  <si>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</si>
  <si>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</si>
  <si>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</si>
  <si>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</si>
  <si>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</si>
  <si>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</si>
  <si>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</si>
  <si>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</si>
  <si>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</si>
  <si>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</si>
  <si>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</si>
  <si>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</si>
  <si>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</si>
  <si>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</si>
  <si>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</si>
  <si>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</si>
  <si>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</si>
  <si>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</si>
  <si>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</si>
  <si>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</si>
  <si>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</si>
  <si>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</si>
  <si>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</si>
  <si>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</si>
  <si>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</si>
  <si>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</si>
  <si>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</si>
  <si>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</si>
  <si>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</si>
  <si>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</si>
  <si>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</si>
  <si>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</si>
  <si>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</si>
  <si>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</si>
  <si>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</si>
  <si>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</si>
  <si>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</si>
  <si>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</si>
  <si>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</si>
  <si>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</si>
  <si>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</si>
  <si>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</si>
  <si>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</si>
  <si>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</si>
  <si>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</si>
  <si>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</si>
  <si>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</si>
  <si>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</si>
  <si>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</si>
  <si>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</si>
  <si>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</si>
  <si>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</si>
  <si>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</si>
  <si>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</si>
  <si>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</si>
  <si>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</si>
  <si>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</si>
  <si>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</si>
  <si>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</si>
  <si>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</si>
  <si>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</si>
  <si>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</si>
  <si>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</si>
  <si>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</si>
  <si>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</si>
  <si>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</si>
  <si>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</si>
  <si>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</si>
  <si>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</si>
  <si>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</si>
  <si>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</si>
  <si>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</si>
  <si>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</si>
  <si>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</si>
  <si>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</si>
  <si>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</si>
  <si>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</si>
  <si>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</si>
  <si>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</si>
  <si>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</si>
  <si>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</si>
  <si>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</si>
  <si>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</si>
  <si>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</si>
  <si>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</si>
  <si>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</si>
  <si>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</si>
  <si>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</si>
  <si>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</si>
  <si>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</si>
  <si>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</si>
  <si>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</si>
  <si>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</si>
  <si>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</si>
  <si>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</si>
  <si>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</si>
  <si>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</si>
  <si>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</si>
  <si>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</si>
  <si>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</si>
  <si>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</si>
  <si>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</si>
  <si>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</si>
  <si>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</si>
  <si>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</si>
  <si>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</si>
  <si>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</si>
  <si>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</si>
  <si>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</si>
  <si>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</si>
  <si>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</si>
  <si>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</si>
  <si>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</si>
  <si>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</si>
  <si>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</si>
  <si>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</si>
  <si>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</si>
  <si>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</si>
  <si>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</si>
  <si>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</si>
  <si>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</si>
  <si>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</si>
  <si>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</si>
  <si>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</si>
  <si>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</si>
  <si>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</si>
  <si>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</si>
  <si>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</si>
  <si>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</si>
  <si>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</si>
  <si>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</si>
  <si>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</si>
  <si>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</si>
  <si>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</si>
  <si>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</si>
  <si>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</si>
  <si>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</si>
  <si>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</si>
  <si>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</si>
  <si>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</si>
  <si>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</si>
  <si>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</si>
  <si>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</si>
  <si>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</si>
  <si>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</si>
  <si>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</si>
  <si>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</si>
  <si>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</si>
  <si>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</si>
  <si>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</si>
  <si>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</si>
  <si>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</si>
  <si>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</si>
  <si>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</si>
  <si>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</si>
  <si>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</si>
  <si>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</si>
  <si>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</si>
  <si>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</si>
  <si>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</si>
  <si>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</si>
  <si>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</si>
  <si>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</si>
  <si>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</si>
  <si>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</si>
  <si>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</si>
  <si>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</si>
  <si>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</si>
  <si>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</si>
  <si>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</si>
  <si>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</si>
  <si>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</si>
  <si>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</si>
  <si>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</si>
  <si>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</si>
  <si>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</si>
  <si>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</si>
  <si>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</si>
  <si>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</si>
  <si>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</si>
  <si>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</si>
  <si>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</si>
  <si>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</si>
  <si>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</si>
  <si>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</si>
  <si>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</si>
  <si>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</si>
  <si>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</si>
  <si>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</si>
  <si>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</si>
  <si>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</si>
  <si>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</si>
  <si>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</si>
  <si>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</si>
  <si>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</si>
  <si>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</si>
  <si>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</si>
  <si>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</si>
  <si>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</si>
  <si>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</si>
  <si>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</si>
  <si>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</si>
  <si>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</si>
  <si>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</si>
  <si>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</si>
  <si>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</si>
  <si>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</si>
  <si>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</si>
  <si>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</si>
  <si>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</si>
  <si>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</si>
  <si>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</si>
  <si>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</si>
  <si>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</si>
  <si>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</si>
  <si>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</si>
  <si>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</si>
  <si>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</si>
  <si>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</si>
  <si>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</si>
  <si>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</si>
  <si>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</si>
  <si>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</si>
  <si>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</si>
  <si>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</si>
  <si>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</si>
  <si>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</si>
  <si>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</si>
  <si>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</si>
  <si>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</si>
  <si>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</si>
  <si>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</si>
  <si>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</si>
  <si>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</si>
  <si>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</si>
  <si>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</si>
  <si>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</si>
  <si>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</si>
  <si>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</si>
  <si>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</si>
  <si>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</si>
  <si>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</si>
  <si>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</si>
  <si>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</si>
  <si>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</si>
  <si>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</si>
  <si>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</si>
  <si>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</si>
  <si>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</si>
  <si>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</si>
  <si>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</si>
  <si>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</si>
  <si>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</si>
  <si>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</si>
  <si>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</si>
  <si>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</si>
  <si>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</si>
  <si>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</si>
  <si>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</si>
  <si>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</si>
  <si>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</si>
  <si>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</si>
  <si>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</si>
  <si>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</si>
  <si>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</si>
  <si>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</si>
  <si>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</si>
  <si>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</si>
  <si>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</si>
  <si>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</si>
  <si>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</si>
  <si>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</si>
  <si>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</si>
  <si>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</si>
  <si>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</si>
  <si>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</si>
  <si>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</si>
  <si>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</si>
  <si>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</si>
  <si>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</si>
  <si>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</si>
  <si>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</si>
  <si>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</si>
  <si>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</si>
  <si>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</si>
  <si>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</si>
  <si>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</si>
  <si>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</si>
  <si>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</si>
  <si>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</si>
  <si>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</si>
  <si>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</si>
  <si>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</si>
  <si>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</si>
  <si>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</si>
  <si>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</si>
  <si>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</si>
  <si>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</si>
  <si>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</si>
  <si>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</si>
  <si>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</si>
  <si>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</si>
  <si>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</si>
  <si>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</si>
  <si>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</si>
  <si>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</si>
  <si>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</si>
  <si>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</si>
  <si>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</si>
  <si>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</si>
  <si>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</si>
  <si>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</si>
  <si>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</si>
  <si>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</si>
  <si>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</si>
  <si>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</si>
  <si>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</si>
  <si>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</si>
  <si>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</si>
  <si>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</si>
  <si>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</si>
  <si>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</si>
  <si>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</si>
  <si>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</si>
  <si>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</si>
  <si>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</si>
  <si>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</si>
  <si>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</si>
  <si>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</si>
  <si>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</si>
  <si>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</si>
  <si>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</si>
  <si>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</si>
  <si>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</si>
  <si>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</si>
  <si>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</si>
  <si>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</si>
  <si>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</si>
  <si>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</si>
  <si>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</si>
  <si>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</si>
  <si>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</si>
  <si>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</si>
  <si>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</si>
  <si>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</si>
  <si>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</si>
  <si>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</si>
  <si>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</si>
  <si>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</si>
  <si>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</si>
  <si>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</si>
  <si>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</si>
  <si>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</si>
  <si>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</si>
  <si>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</si>
  <si>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</si>
  <si>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</si>
  <si>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</si>
  <si>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</si>
  <si>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</si>
  <si>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</si>
  <si>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</si>
  <si>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</si>
  <si>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</si>
  <si>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</si>
  <si>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</si>
  <si>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</si>
  <si>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</si>
  <si>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</si>
  <si>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</si>
  <si>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</si>
  <si>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</si>
  <si>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</si>
  <si>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</si>
  <si>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</si>
  <si>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</si>
  <si>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</si>
  <si>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</si>
  <si>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</si>
  <si>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</si>
  <si>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</si>
  <si>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</si>
  <si>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</si>
  <si>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</si>
  <si>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</si>
  <si>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</si>
  <si>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</si>
  <si>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</si>
  <si>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</si>
  <si>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</si>
  <si>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</si>
  <si>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</si>
  <si>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</si>
  <si>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</si>
  <si>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</si>
  <si>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</si>
  <si>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</si>
  <si>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</si>
  <si>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</si>
  <si>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</si>
  <si>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</si>
  <si>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</si>
  <si>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</si>
  <si>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</si>
  <si>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</si>
  <si>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</si>
  <si>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</si>
  <si>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</si>
  <si>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</si>
  <si>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</si>
  <si>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</si>
  <si>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</si>
  <si>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</si>
  <si>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</si>
  <si>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</si>
  <si>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</si>
  <si>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</si>
  <si>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</si>
  <si>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</si>
  <si>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</si>
  <si>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</si>
  <si>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</si>
  <si>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</si>
  <si>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</si>
  <si>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</si>
  <si>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</si>
  <si>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</si>
  <si>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</si>
  <si>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</si>
  <si>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</si>
  <si>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</si>
  <si>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</si>
  <si>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</si>
  <si>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</si>
  <si>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</si>
  <si>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</si>
  <si>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</si>
  <si>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</si>
  <si>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</si>
  <si>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</si>
  <si>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</si>
  <si>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</si>
  <si>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</si>
  <si>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</si>
  <si>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</si>
  <si>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</si>
  <si>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</si>
  <si>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</si>
  <si>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</si>
  <si>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</si>
  <si>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</si>
  <si>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</si>
  <si>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</si>
  <si>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</si>
  <si>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</si>
  <si>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</si>
  <si>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</si>
  <si>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</si>
  <si>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</si>
  <si>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</si>
  <si>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</si>
  <si>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</si>
  <si>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</si>
  <si>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</si>
  <si>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</si>
  <si>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</si>
  <si>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</si>
  <si>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</si>
  <si>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</si>
  <si>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</si>
  <si>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</si>
  <si>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</si>
  <si>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</si>
  <si>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</si>
  <si>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</si>
  <si>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</si>
  <si>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</si>
  <si>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</si>
  <si>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</si>
  <si>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</si>
  <si>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</si>
  <si>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</si>
  <si>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</si>
  <si>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</si>
  <si>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</si>
  <si>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</si>
  <si>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</si>
  <si>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</si>
  <si>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</si>
  <si>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</si>
  <si>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</si>
  <si>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</si>
  <si>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</si>
  <si>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</si>
  <si>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</si>
  <si>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</si>
  <si>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</si>
  <si>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</si>
  <si>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</si>
  <si>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</si>
  <si>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</si>
  <si>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</si>
  <si>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</si>
  <si>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</si>
  <si>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</si>
  <si>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</si>
  <si>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</si>
  <si>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</si>
  <si>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</si>
  <si>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</si>
  <si>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</si>
  <si>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</si>
  <si>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</si>
  <si>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</si>
  <si>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</si>
  <si>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</si>
  <si>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</si>
  <si>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</si>
  <si>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</si>
  <si>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</si>
  <si>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</si>
  <si>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</si>
  <si>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</si>
  <si>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</si>
  <si>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</si>
  <si>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</si>
  <si>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</si>
  <si>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</si>
  <si>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</si>
  <si>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</si>
  <si>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</si>
  <si>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</si>
  <si>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</si>
  <si>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</si>
  <si>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</si>
  <si>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</si>
  <si>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</si>
  <si>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</si>
  <si>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</si>
  <si>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</si>
  <si>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</si>
  <si>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</si>
  <si>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</si>
  <si>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</si>
  <si>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</si>
  <si>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</si>
  <si>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</si>
  <si>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</si>
  <si>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</si>
  <si>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</si>
  <si>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</si>
  <si>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</si>
  <si>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</si>
  <si>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</si>
  <si>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</si>
  <si>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</si>
  <si>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</si>
  <si>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</si>
  <si>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</si>
  <si>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</si>
  <si>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</si>
  <si>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</si>
  <si>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</si>
  <si>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</si>
  <si>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</si>
  <si>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</si>
  <si>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</si>
  <si>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</si>
  <si>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</si>
  <si>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</si>
  <si>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</si>
  <si>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</si>
  <si>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</si>
  <si>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</si>
  <si>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</si>
  <si>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</si>
  <si>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</si>
  <si>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</si>
  <si>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</si>
  <si>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</si>
  <si>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</si>
  <si>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</si>
  <si>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</si>
  <si>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</si>
  <si>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</si>
  <si>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</si>
  <si>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</si>
  <si>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</si>
  <si>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</si>
  <si>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</si>
  <si>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</si>
  <si>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</si>
  <si>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</si>
  <si>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</si>
  <si>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</si>
  <si>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</si>
  <si>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</si>
  <si>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</si>
  <si>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</si>
  <si>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</si>
  <si>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</si>
  <si>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</si>
  <si>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</si>
  <si>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</si>
  <si>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</si>
  <si>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</si>
  <si>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</si>
  <si>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</si>
  <si>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</si>
  <si>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</si>
  <si>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</si>
  <si>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</si>
  <si>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</si>
  <si>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</si>
  <si>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</si>
  <si>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</si>
  <si>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</si>
  <si>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</si>
  <si>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</si>
  <si>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</si>
  <si>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</si>
  <si>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</si>
  <si>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</si>
  <si>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</si>
  <si>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</si>
  <si>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</si>
  <si>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</si>
  <si>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</si>
  <si>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</si>
  <si>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</si>
  <si>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</si>
  <si>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</si>
  <si>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</si>
  <si>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</si>
  <si>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</si>
  <si>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</si>
  <si>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</si>
  <si>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</si>
  <si>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</si>
  <si>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</si>
  <si>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</si>
  <si>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</si>
  <si>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</si>
  <si>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</si>
  <si>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</si>
  <si>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</si>
  <si>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</si>
  <si>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</si>
  <si>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</si>
  <si>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</si>
  <si>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</si>
  <si>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</si>
  <si>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</si>
  <si>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</si>
  <si>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</si>
  <si>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</si>
  <si>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</si>
  <si>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</si>
  <si>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</si>
  <si>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</si>
  <si>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</si>
  <si>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</si>
  <si>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</si>
  <si>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</si>
  <si>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</si>
  <si>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</si>
  <si>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</si>
  <si>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</si>
  <si>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</si>
  <si>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</si>
  <si>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</si>
  <si>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</si>
  <si>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</si>
  <si>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</si>
  <si>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</si>
  <si>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</si>
  <si>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</si>
  <si>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</si>
  <si>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</si>
  <si>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</si>
  <si>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</si>
  <si>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</si>
  <si>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</si>
  <si>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</si>
  <si>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</si>
  <si>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</si>
  <si>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</si>
  <si>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</si>
  <si>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</si>
  <si>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</si>
  <si>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</si>
  <si>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</si>
  <si>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</si>
  <si>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</si>
  <si>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</si>
  <si>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</si>
  <si>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</si>
  <si>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</si>
  <si>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</si>
  <si>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</si>
  <si>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</si>
  <si>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</si>
  <si>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</si>
  <si>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</si>
  <si>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</si>
  <si>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</si>
  <si>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</si>
  <si>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</si>
  <si>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</si>
  <si>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</si>
  <si>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</si>
  <si>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</si>
  <si>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</si>
  <si>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</si>
  <si>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</si>
  <si>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</si>
  <si>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</si>
  <si>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</si>
  <si>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</si>
  <si>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</si>
  <si>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</si>
  <si>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</si>
  <si>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</si>
  <si>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</si>
  <si>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</si>
  <si>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</si>
  <si>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</si>
  <si>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</si>
  <si>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</si>
  <si>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</si>
  <si>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</si>
  <si>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</si>
  <si>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</si>
  <si>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</si>
  <si>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</si>
  <si>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</si>
  <si>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</si>
  <si>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</si>
  <si>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</si>
  <si>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</si>
  <si>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</si>
  <si>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</si>
  <si>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</si>
  <si>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</si>
  <si>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</si>
  <si>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</si>
  <si>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</si>
  <si>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</si>
  <si>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</si>
  <si>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</si>
  <si>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</si>
  <si>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</si>
  <si>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</si>
  <si>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</si>
  <si>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</si>
  <si>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</si>
  <si>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</si>
  <si>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</si>
  <si>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</si>
  <si>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</si>
  <si>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</si>
  <si>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</si>
  <si>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</si>
  <si>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</si>
  <si>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</si>
  <si>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</si>
  <si>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</si>
  <si>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</si>
  <si>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</si>
  <si>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</si>
  <si>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</si>
  <si>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</si>
  <si>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</si>
  <si>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</si>
  <si>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</si>
  <si>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</si>
  <si>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</si>
  <si>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</si>
  <si>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</si>
  <si>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</si>
  <si>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</si>
  <si>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</si>
  <si>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</si>
  <si>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</si>
  <si>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</si>
  <si>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</si>
  <si>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</si>
  <si>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</si>
  <si>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</si>
  <si>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</si>
  <si>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</si>
  <si>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</si>
  <si>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</si>
  <si>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</si>
  <si>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</si>
  <si>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</si>
  <si>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</si>
  <si>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</si>
  <si>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</si>
  <si>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</si>
  <si>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</si>
  <si>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</si>
  <si>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</si>
  <si>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</si>
  <si>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</si>
  <si>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</si>
  <si>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</si>
  <si>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</si>
  <si>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</si>
  <si>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</si>
  <si>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</si>
  <si>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</si>
  <si>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</si>
  <si>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</si>
  <si>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</si>
  <si>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</si>
  <si>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</si>
  <si>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</si>
  <si>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</si>
  <si>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</si>
  <si>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</si>
  <si>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</si>
  <si>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</si>
  <si>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</si>
  <si>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</si>
  <si>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</si>
  <si>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</si>
  <si>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</si>
  <si>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</si>
  <si>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</si>
  <si>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</si>
  <si>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</si>
  <si>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</si>
  <si>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</si>
  <si>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</si>
  <si>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</si>
  <si>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</si>
  <si>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</si>
  <si>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</si>
  <si>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</si>
  <si>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</si>
  <si>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</si>
  <si>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</si>
  <si>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</si>
  <si>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</si>
  <si>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</si>
  <si>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</si>
  <si>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</si>
  <si>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</si>
  <si>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</si>
  <si>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</si>
  <si>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</si>
  <si>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</si>
  <si>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</si>
  <si>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</si>
  <si>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</si>
  <si>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</si>
  <si>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</si>
  <si>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</si>
  <si>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</si>
  <si>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</si>
  <si>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</si>
  <si>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</si>
  <si>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</si>
  <si>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</si>
  <si>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</si>
  <si>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</si>
  <si>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</si>
  <si>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</si>
  <si>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</si>
  <si>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</si>
  <si>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</si>
  <si>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</si>
  <si>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</si>
  <si>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</si>
  <si>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</si>
  <si>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</si>
  <si>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</si>
  <si>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</si>
  <si>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</si>
  <si>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</si>
  <si>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</si>
  <si>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</si>
  <si>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</si>
  <si>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</si>
  <si>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</si>
  <si>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</si>
  <si>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</si>
  <si>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</si>
  <si>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</si>
  <si>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</si>
  <si>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</si>
  <si>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</si>
  <si>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</si>
  <si>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</si>
  <si>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</si>
  <si>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</si>
  <si>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</si>
  <si>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</si>
  <si>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</si>
  <si>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</si>
  <si>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</si>
  <si>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</si>
  <si>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</si>
  <si>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</si>
  <si>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</si>
  <si>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</si>
  <si>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</si>
  <si>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</si>
  <si>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</si>
  <si>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</si>
  <si>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</si>
  <si>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</si>
  <si>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</si>
  <si>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</si>
  <si>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</si>
  <si>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</si>
  <si>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</si>
  <si>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</si>
  <si>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</si>
  <si>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</si>
  <si>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</si>
  <si>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</si>
  <si>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</si>
  <si>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</si>
  <si>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</si>
  <si>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</si>
  <si>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</si>
  <si>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</si>
  <si>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</si>
  <si>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</si>
  <si>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</si>
  <si>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</si>
  <si>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</si>
  <si>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</si>
  <si>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</si>
  <si>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</si>
  <si>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</si>
  <si>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</si>
  <si>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</si>
  <si>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</si>
  <si>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</si>
  <si>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</si>
  <si>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</si>
  <si>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</si>
  <si>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</si>
  <si>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</si>
  <si>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</si>
  <si>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</si>
  <si>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</si>
  <si>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</si>
  <si>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</si>
  <si>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</si>
  <si>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</si>
  <si>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</si>
  <si>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</si>
  <si>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</si>
  <si>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</si>
  <si>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</si>
  <si>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</si>
  <si>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</si>
  <si>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</si>
  <si>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</si>
  <si>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</si>
  <si>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</si>
  <si>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</si>
  <si>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</si>
  <si>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</si>
  <si>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</si>
  <si>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</si>
  <si>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</si>
  <si>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</si>
  <si>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</si>
  <si>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</si>
  <si>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</si>
  <si>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</si>
  <si>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</si>
  <si>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</si>
  <si>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</si>
  <si>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</si>
  <si>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</si>
  <si>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</si>
  <si>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</si>
  <si>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</si>
  <si>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</si>
  <si>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</si>
  <si>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</si>
  <si>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</si>
  <si>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</si>
  <si>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</si>
  <si>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</si>
  <si>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</si>
  <si>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</si>
  <si>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</si>
  <si>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</si>
  <si>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</si>
  <si>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</si>
  <si>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</si>
  <si>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</si>
  <si>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</si>
  <si>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</si>
  <si>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</si>
  <si>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</si>
  <si>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</si>
  <si>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</si>
  <si>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</si>
  <si>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</si>
  <si>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</si>
  <si>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</si>
  <si>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</si>
  <si>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</si>
  <si>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</si>
  <si>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</si>
  <si>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</si>
  <si>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</si>
  <si>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</si>
  <si>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</si>
  <si>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</si>
  <si>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</si>
  <si>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</si>
  <si>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</si>
  <si>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</si>
  <si>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</si>
  <si>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</si>
  <si>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</si>
  <si>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</si>
  <si>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</si>
  <si>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</si>
  <si>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</si>
  <si>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</si>
  <si>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</si>
  <si>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</si>
  <si>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</si>
  <si>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</si>
  <si>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</si>
  <si>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</si>
  <si>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</si>
  <si>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</si>
  <si>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</si>
  <si>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</si>
  <si>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</si>
  <si>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</si>
  <si>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</si>
  <si>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</si>
  <si>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</si>
  <si>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</si>
  <si>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</si>
  <si>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</si>
  <si>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</si>
  <si>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</si>
  <si>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</si>
  <si>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</si>
  <si>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</si>
  <si>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</si>
  <si>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</si>
  <si>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</si>
  <si>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</si>
  <si>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</si>
  <si>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</si>
  <si>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</si>
  <si>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</si>
  <si>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</si>
  <si>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</si>
  <si>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</si>
  <si>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</si>
  <si>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</si>
  <si>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</si>
  <si>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</si>
  <si>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</si>
  <si>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</si>
  <si>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</si>
  <si>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</si>
  <si>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</si>
  <si>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</si>
  <si>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</si>
  <si>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</si>
  <si>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</si>
  <si>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</si>
  <si>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</si>
  <si>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</si>
  <si>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</si>
  <si>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</si>
  <si>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</si>
  <si>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</si>
  <si>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</si>
  <si>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</si>
  <si>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</si>
  <si>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</si>
  <si>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</si>
  <si>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</si>
  <si>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</si>
  <si>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</si>
  <si>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</si>
  <si>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</si>
  <si>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</si>
  <si>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</si>
  <si>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</si>
  <si>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</si>
  <si>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</si>
  <si>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</si>
  <si>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</si>
  <si>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</si>
  <si>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</si>
  <si>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</si>
  <si>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</si>
  <si>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</si>
  <si>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</si>
  <si>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</si>
  <si>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</si>
  <si>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</si>
  <si>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</si>
  <si>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</si>
  <si>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</si>
  <si>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</si>
  <si>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</si>
  <si>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</si>
  <si>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</si>
  <si>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</si>
  <si>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</si>
  <si>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</si>
  <si>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</si>
  <si>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</si>
  <si>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</si>
  <si>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</si>
  <si>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</si>
  <si>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</si>
  <si>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</si>
  <si>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</si>
  <si>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</si>
  <si>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</si>
  <si>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</si>
  <si>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</si>
  <si>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</si>
  <si>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</si>
  <si>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</si>
  <si>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</si>
  <si>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</si>
  <si>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</si>
  <si>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</si>
  <si>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</si>
  <si>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</si>
  <si>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</si>
  <si>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</si>
  <si>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</si>
  <si>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</si>
  <si>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</si>
  <si>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</si>
  <si>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</si>
  <si>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</si>
  <si>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</si>
  <si>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</si>
  <si>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</si>
  <si>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</si>
  <si>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</si>
  <si>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</si>
  <si>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</si>
  <si>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</si>
  <si>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</si>
  <si>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</si>
  <si>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</si>
  <si>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</si>
  <si>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</si>
  <si>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</si>
  <si>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</si>
  <si>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</si>
  <si>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</si>
  <si>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</si>
  <si>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</si>
  <si>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</si>
  <si>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</si>
  <si>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</si>
  <si>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</si>
  <si>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</si>
  <si>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</si>
  <si>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</si>
  <si>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</si>
  <si>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</si>
  <si>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</si>
  <si>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</si>
  <si>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</si>
  <si>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</si>
  <si>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</si>
  <si>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</si>
  <si>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</si>
  <si>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</si>
  <si>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</si>
  <si>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</si>
  <si>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</si>
  <si>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</si>
  <si>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</si>
  <si>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</si>
  <si>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</si>
  <si>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</si>
  <si>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</si>
  <si>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</si>
  <si>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</si>
  <si>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</si>
  <si>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</si>
  <si>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</si>
  <si>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</si>
  <si>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</si>
  <si>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</si>
  <si>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</si>
  <si>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</si>
  <si>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</si>
  <si>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</si>
  <si>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</si>
  <si>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</si>
  <si>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</si>
  <si>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</si>
  <si>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</si>
  <si>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</si>
  <si>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</si>
  <si>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</si>
  <si>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</si>
  <si>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</si>
  <si>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</si>
  <si>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</si>
  <si>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</si>
  <si>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</si>
  <si>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</si>
  <si>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</si>
  <si>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</si>
  <si>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</si>
  <si>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</si>
  <si>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</si>
  <si>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</si>
  <si>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</si>
  <si>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</si>
  <si>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</si>
  <si>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</si>
  <si>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</si>
  <si>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</si>
  <si>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</si>
  <si>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</si>
  <si>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</si>
  <si>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</si>
  <si>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</si>
  <si>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</si>
  <si>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</si>
  <si>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</si>
  <si>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</si>
  <si>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</si>
  <si>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</si>
  <si>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</si>
  <si>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</si>
  <si>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</si>
  <si>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</si>
  <si>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</si>
  <si>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</si>
  <si>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</si>
  <si>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</si>
  <si>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</si>
  <si>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</si>
  <si>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</si>
  <si>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</si>
  <si>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</si>
  <si>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</si>
  <si>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</si>
  <si>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</si>
  <si>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</si>
  <si>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</si>
  <si>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</si>
  <si>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</si>
  <si>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</si>
  <si>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</si>
  <si>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</si>
  <si>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</si>
  <si>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</si>
  <si>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</si>
  <si>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</si>
  <si>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</si>
  <si>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</si>
  <si>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</si>
  <si>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</si>
  <si>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</si>
  <si>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</si>
  <si>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</si>
  <si>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</si>
  <si>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</si>
  <si>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</si>
  <si>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</si>
  <si>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</si>
  <si>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</si>
  <si>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</si>
  <si>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</si>
  <si>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</si>
  <si>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</si>
  <si>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</si>
  <si>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</si>
  <si>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</si>
  <si>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</si>
  <si>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</si>
  <si>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</si>
  <si>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</si>
  <si>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</si>
  <si>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</si>
  <si>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</si>
  <si>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</si>
  <si>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</si>
  <si>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</si>
  <si>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</si>
  <si>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</si>
  <si>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</si>
  <si>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</si>
  <si>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</si>
  <si>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</si>
  <si>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</si>
  <si>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</si>
  <si>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</si>
  <si>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</si>
  <si>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</si>
  <si>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</si>
  <si>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</si>
  <si>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</si>
  <si>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</si>
  <si>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</si>
  <si>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</si>
  <si>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</si>
  <si>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</si>
  <si>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</si>
  <si>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</si>
  <si>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</si>
  <si>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</si>
  <si>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</si>
  <si>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</si>
  <si>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</si>
  <si>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</si>
  <si>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</si>
  <si>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</si>
  <si>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</si>
  <si>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</si>
  <si>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</si>
  <si>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</si>
  <si>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</si>
  <si>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</si>
  <si>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</si>
  <si>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</si>
  <si>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</si>
  <si>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</si>
  <si>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</si>
  <si>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</si>
  <si>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</si>
  <si>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</si>
  <si>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</si>
  <si>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</si>
  <si>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</si>
  <si>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</si>
  <si>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</si>
  <si>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</si>
  <si>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</si>
  <si>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</si>
  <si>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</si>
  <si>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</si>
  <si>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</si>
  <si>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</si>
  <si>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</si>
  <si>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</si>
  <si>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</si>
  <si>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</si>
  <si>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</si>
  <si>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</si>
  <si>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</si>
  <si>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</si>
  <si>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</si>
  <si>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</si>
  <si>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</si>
  <si>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</si>
  <si>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</si>
  <si>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</si>
  <si>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</si>
  <si>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</si>
  <si>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</si>
  <si>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</si>
  <si>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</si>
  <si>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</si>
  <si>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</si>
  <si>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</si>
  <si>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</si>
  <si>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</si>
  <si>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</si>
  <si>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</si>
  <si>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</si>
  <si>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</si>
  <si>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</si>
  <si>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</si>
  <si>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</si>
  <si>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</si>
  <si>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</si>
  <si>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</si>
  <si>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</si>
  <si>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</si>
  <si>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</si>
  <si>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</si>
  <si>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</si>
  <si>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</si>
  <si>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</si>
  <si>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</si>
  <si>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</si>
  <si>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</si>
  <si>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</si>
  <si>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</si>
  <si>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</si>
  <si>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</si>
  <si>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</si>
  <si>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</si>
  <si>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</si>
  <si>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</si>
  <si>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</si>
  <si>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</si>
  <si>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</si>
  <si>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</si>
  <si>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</si>
  <si>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</si>
  <si>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</si>
  <si>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</si>
  <si>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</si>
  <si>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</si>
  <si>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</si>
  <si>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</si>
  <si>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</si>
  <si>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</si>
  <si>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</si>
  <si>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</si>
  <si>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</si>
  <si>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</si>
  <si>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</si>
  <si>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</si>
  <si>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</si>
  <si>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</si>
  <si>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</si>
  <si>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</si>
  <si>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</si>
  <si>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</si>
  <si>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</si>
  <si>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</si>
  <si>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</si>
  <si>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</si>
  <si>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</si>
  <si>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</si>
  <si>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</si>
  <si>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</si>
  <si>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</si>
  <si>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</si>
  <si>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</si>
  <si>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</si>
  <si>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</si>
  <si>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</si>
  <si>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</si>
  <si>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</si>
  <si>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</si>
  <si>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QUO-01864-Y0V6G6</t>
  </si>
  <si>
    <t>Green Dot Marketing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</si>
</sst>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1"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4" activePane="bottomLeft" state="frozen"/>
      <selection activeCell="G20" sqref="G20"/>
      <selection pane="bottomLeft" activeCell="I54" sqref="I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1010625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0.58576763485477179</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756400</v>
      </c>
      <c r="AE28" s="517">
        <f>IF(AE48="","",SUMIFS($D$291:$D$390,$AE$48:$AE$147,"Yes"))</f>
        <v>252400</v>
      </c>
      <c r="AF28" s="1457">
        <f>IF(AF48="","",SUMIFS($D$291:$D$390,$AF$48:$AF$147,"Yes"))</f>
        <v>330400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333840</v>
      </c>
      <c r="AE29" s="517">
        <f>IF(AE48="","",SUMIFS($F$291:$F$390,$AE$48:$AE$147,"Yes"))</f>
        <v>99840</v>
      </c>
      <c r="AF29" s="1457">
        <f>IF(AF48="","",SUMIFS($F$291:$F$390,$AF$48:$AF$147,"Yes"))</f>
        <v>141840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58.774647887323944</v>
      </c>
      <c r="AE30" s="1459">
        <f>IFERROR(AE29/SUMIFS($M$291:$M$390,AE48:AE147,"Yes"),"")</f>
        <v>48</v>
      </c>
      <c r="AF30" s="1460">
        <f>IFERROR(AF29/SUMIFS($M$291:$M$390,AF48:AF147,"Yes"),"")</f>
        <v>43.243902439024389</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3434</v>
      </c>
      <c r="J48" s="1184" t="str">
        <f>C48</f>
        <v>TADNorthAmerica</v>
      </c>
      <c r="K48" s="1687" t="s">
        <v>534</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0</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t="s">
        <v>3461</v>
      </c>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276</v>
      </c>
      <c r="E51" s="1187" t="str">
        <f>IFERROR(_xlfn.XLOOKUP(D51,TADIndia,'Rates &amp; Drop Downs INT'!$CH$6:$CH$747),"")</f>
        <v>Salesforce</v>
      </c>
      <c r="F51" s="1187" t="s">
        <v>1235</v>
      </c>
      <c r="G51" s="1187" t="str">
        <f>IFERROR(_xlfn.XLOOKUP(F51,'Rates &amp; Drop Downs INT'!$CI$6:$CI$747,'Rates &amp; Drop Downs INT'!$CJ$6:$CJ$747),"")</f>
        <v>Salesforce_UI</v>
      </c>
      <c r="H51" s="1187" t="str">
        <f>_xlfn.XLOOKUP(F51,'Rates &amp; Drop Downs INT'!$DF$6:$DF$173,'Rates &amp; Drop Downs INT'!$DG$6:$DG$173,"")</f>
        <v>SALESFORCEUISP</v>
      </c>
      <c r="I51" s="1187" t="s">
        <v>1173</v>
      </c>
      <c r="J51" s="1188" t="str">
        <f t="shared" ref="J51:J112" si="1">C51</f>
        <v>TADIndia</v>
      </c>
      <c r="K51" s="1687" t="s">
        <v>534</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0</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2543</v>
      </c>
      <c r="G54" s="1187" t="str">
        <f>IFERROR(_xlfn.XLOOKUP(F54,'Rates &amp; Drop Downs INT'!$CI$6:$CI$747,'Rates &amp; Drop Downs INT'!$CJ$6:$CJ$747),"")</f>
        <v>Adobe_BA</v>
      </c>
      <c r="H54" s="1187" t="str">
        <f>_xlfn.XLOOKUP(F54,'Rates &amp; Drop Downs INT'!$DF$6:$DF$173,'Rates &amp; Drop Downs INT'!$DG$6:$DG$173,"")</f>
        <v>ADOBEBASP</v>
      </c>
      <c r="I54" s="1187"/>
      <c r="J54" s="1188"/>
      <c r="K54" s="1687" t="s">
        <v>380</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2</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Developer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Business Analyst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0.56338461538461537</v>
      </c>
      <c r="E288" s="520"/>
      <c r="F288" s="521"/>
      <c r="G288" s="1211"/>
      <c r="H288" s="1211"/>
      <c r="J288" s="1211"/>
    </row>
    <row r="289" spans="2:16" ht="25.95" customHeight="1" x14ac:dyDescent="0.25">
      <c r="B289" s="555"/>
      <c r="C289" s="907" t="s">
        <v>2197</v>
      </c>
      <c r="D289" s="908">
        <f>SUM(D291:D390)</f>
        <v>910000</v>
      </c>
      <c r="E289" s="908"/>
      <c r="F289" s="908">
        <f>SUM(F291:F390)</f>
        <v>397320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Sr. Developer</v>
      </c>
      <c r="D291" s="917">
        <f>IFERROR(IF($L291="Enter Override $",(IF($E$26="Select Type","Select Margin Class",IF($E$26="Standard Rates",I291*M291,IF($E$26="Client Custom Rates",K291*M291)))),L291*M291),"")</f>
        <v>204000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99000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170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Developer</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27000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Business Analyst</v>
      </c>
      <c r="D297" s="918">
        <f t="shared" si="89"/>
        <v>66000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55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R5" sqref="R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4" thickBot="1" x14ac:dyDescent="0.35">
      <c r="A16" s="192">
        <v>1</v>
      </c>
      <c r="B16" s="193">
        <v>3</v>
      </c>
      <c r="C16" s="193" t="str">
        <f t="shared" ref="C16:C33" si="46">G16&amp;"__"&amp;H16</f>
        <v>.NET__Sitecore</v>
      </c>
      <c r="D16" s="193" t="str">
        <f t="shared" ref="D16:D33" si="47">G16&amp;"__"&amp;H16&amp;"__"&amp;I16</f>
        <v>.NET__Sitecore__Sitecore</v>
      </c>
      <c r="E16" s="193">
        <v>21</v>
      </c>
      <c r="F16" s="193">
        <v>8</v>
      </c>
      <c r="G16" s="194" t="str">
        <f>'2. Roles &amp; Pricing'!D48</f>
        <v>.NET</v>
      </c>
      <c r="H16" s="194" t="str">
        <f>'2. Roles &amp; Pricing'!F48</f>
        <v>Sitecore</v>
      </c>
      <c r="I16" s="194" t="str">
        <f>'2. Roles &amp; Pricing'!F48</f>
        <v>Sitecore</v>
      </c>
      <c r="J16" s="196" t="str">
        <f>'2. Roles &amp; Pricing'!K48</f>
        <v>Sr. Developer</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204000</v>
      </c>
      <c r="BQ16" s="199">
        <f>'2. Roles &amp; Pricing'!F291</f>
        <v>99000</v>
      </c>
      <c r="BR16" s="623">
        <f>'2. Roles &amp; Pricing'!F291</f>
        <v>99000</v>
      </c>
      <c r="BS16" s="200">
        <f>'2. Roles &amp; Pricing'!I291</f>
        <v>170</v>
      </c>
      <c r="BT16" s="201">
        <f>BP16</f>
        <v>204000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Salesforce__Salesforce UI</v>
      </c>
      <c r="D19" s="207" t="str">
        <f t="shared" si="47"/>
        <v>Salesforce__Salesforce UI__Salesforce UI</v>
      </c>
      <c r="E19" s="207">
        <v>21</v>
      </c>
      <c r="F19" s="207">
        <v>8</v>
      </c>
      <c r="G19" s="208" t="str">
        <f>'2. Roles &amp; Pricing'!D51</f>
        <v>Salesforce</v>
      </c>
      <c r="H19" s="194" t="str">
        <f>'2. Roles &amp; Pricing'!F51</f>
        <v>Salesforce UI</v>
      </c>
      <c r="I19" s="210" t="str">
        <f>'2. Roles &amp; Pricing'!F51</f>
        <v>Salesforce UI</v>
      </c>
      <c r="J19" s="210" t="str">
        <f>'2. Roles &amp; Pricing'!K51</f>
        <v>Sr. Developer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27000</v>
      </c>
      <c r="BR19" s="623">
        <f>'2. Roles &amp; Pricing'!F294</f>
        <v>27000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BA</v>
      </c>
      <c r="D22" s="207" t="str">
        <f t="shared" si="47"/>
        <v>Adobe__Adobe BA__Adobe BA</v>
      </c>
      <c r="E22" s="207">
        <v>21</v>
      </c>
      <c r="F22" s="207">
        <v>8</v>
      </c>
      <c r="G22" s="208" t="str">
        <f>'2. Roles &amp; Pricing'!D54</f>
        <v>Adobe</v>
      </c>
      <c r="H22" s="194" t="str">
        <f>'2. Roles &amp; Pricing'!F54</f>
        <v>Adobe BA</v>
      </c>
      <c r="I22" s="210" t="str">
        <f>'2. Roles &amp; Pricing'!F54</f>
        <v>Adobe BA</v>
      </c>
      <c r="J22" s="210" t="str">
        <f>'2. Roles &amp; Pricing'!K54</f>
        <v>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66000</v>
      </c>
      <c r="BQ22" s="199">
        <f>'2. Roles &amp; Pricing'!F297</f>
        <v>27000</v>
      </c>
      <c r="BR22" s="623">
        <f>'2. Roles &amp; Pricing'!F297</f>
        <v>27000</v>
      </c>
      <c r="BS22" s="200">
        <f>'2. Roles &amp; Pricing'!I297</f>
        <v>55</v>
      </c>
      <c r="BT22" s="201">
        <f t="shared" si="51"/>
        <v>66000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910000</v>
      </c>
      <c r="BQ34" s="199">
        <f>'2. Roles &amp; Pricing'!F309</f>
        <v>0</v>
      </c>
      <c r="BR34" s="252"/>
      <c r="BS34" s="253"/>
      <c r="BT34" s="254">
        <f>SUM(BT16:BT33)</f>
        <v>910000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910000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28720</v>
      </c>
      <c r="O38" s="275">
        <f t="shared" si="52"/>
        <v>28720</v>
      </c>
      <c r="P38" s="276">
        <f t="shared" si="52"/>
        <v>28720</v>
      </c>
      <c r="Q38" s="277">
        <f t="shared" si="52"/>
        <v>28720</v>
      </c>
      <c r="R38" s="278">
        <f t="shared" si="52"/>
        <v>30920</v>
      </c>
      <c r="S38" s="277">
        <f t="shared" si="52"/>
        <v>30920</v>
      </c>
      <c r="T38" s="278">
        <f t="shared" si="52"/>
        <v>30920</v>
      </c>
      <c r="U38" s="277">
        <f t="shared" si="52"/>
        <v>30920</v>
      </c>
      <c r="V38" s="278">
        <f t="shared" si="52"/>
        <v>30920</v>
      </c>
      <c r="W38" s="277">
        <f t="shared" si="52"/>
        <v>30920</v>
      </c>
      <c r="X38" s="278">
        <f t="shared" si="52"/>
        <v>30920</v>
      </c>
      <c r="Y38" s="277">
        <f t="shared" si="52"/>
        <v>30920</v>
      </c>
      <c r="Z38" s="278">
        <f t="shared" si="52"/>
        <v>30920</v>
      </c>
      <c r="AA38" s="277">
        <f t="shared" si="52"/>
        <v>28720</v>
      </c>
      <c r="AB38" s="278">
        <f t="shared" si="52"/>
        <v>28720</v>
      </c>
      <c r="AC38" s="277">
        <f t="shared" si="52"/>
        <v>28720</v>
      </c>
      <c r="AD38" s="278">
        <f t="shared" si="52"/>
        <v>28720</v>
      </c>
      <c r="AE38" s="277">
        <f t="shared" si="52"/>
        <v>30920</v>
      </c>
      <c r="AF38" s="278">
        <f t="shared" si="52"/>
        <v>30920</v>
      </c>
      <c r="AG38" s="277">
        <f t="shared" si="52"/>
        <v>30920</v>
      </c>
      <c r="AH38" s="277">
        <f t="shared" si="52"/>
        <v>30920</v>
      </c>
      <c r="AI38" s="278">
        <f t="shared" si="52"/>
        <v>30920</v>
      </c>
      <c r="AJ38" s="277">
        <f t="shared" si="52"/>
        <v>30920</v>
      </c>
      <c r="AK38" s="278">
        <f t="shared" si="52"/>
        <v>30920</v>
      </c>
      <c r="AL38" s="277">
        <f t="shared" si="52"/>
        <v>30920</v>
      </c>
      <c r="AM38" s="278">
        <f t="shared" si="52"/>
        <v>30920</v>
      </c>
      <c r="AN38" s="277">
        <f t="shared" si="52"/>
        <v>30920</v>
      </c>
      <c r="AO38" s="278">
        <f t="shared" si="52"/>
        <v>30920</v>
      </c>
      <c r="AP38" s="277">
        <f t="shared" si="52"/>
        <v>30920</v>
      </c>
      <c r="AQ38" s="278">
        <f t="shared" si="52"/>
        <v>30920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1274000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28720</v>
      </c>
      <c r="O39" s="1753">
        <f>SUM(O38:Q38)</f>
        <v>86160</v>
      </c>
      <c r="P39" s="1754"/>
      <c r="Q39" s="1755"/>
      <c r="R39" s="1756">
        <f>SUM(R38:S38)</f>
        <v>61840</v>
      </c>
      <c r="S39" s="1757"/>
      <c r="T39" s="1753">
        <f>SUM(T38:U38)</f>
        <v>61840</v>
      </c>
      <c r="U39" s="1755"/>
      <c r="V39" s="1756">
        <f>SUM(V38:AS38)</f>
        <v>671440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1092000</v>
      </c>
      <c r="BR39" s="141"/>
      <c r="BS39" s="284" t="s">
        <v>2031</v>
      </c>
      <c r="BT39" s="285">
        <f>BP37-BP36</f>
        <v>910000</v>
      </c>
      <c r="BU39" s="286">
        <f>(BT39-BQ34)/BT39</f>
        <v>1</v>
      </c>
      <c r="BV39" s="285">
        <f>BT39/BU34</f>
        <v>107.81990521327015</v>
      </c>
    </row>
    <row r="40" spans="1:94" s="140" customFormat="1" ht="14.4" thickBot="1" x14ac:dyDescent="0.3">
      <c r="A40" s="141"/>
      <c r="B40" s="262"/>
      <c r="C40" s="262"/>
      <c r="D40" s="262"/>
      <c r="E40" s="262"/>
      <c r="F40" s="262"/>
      <c r="J40" s="287" t="s">
        <v>2032</v>
      </c>
      <c r="K40" s="147"/>
      <c r="N40" s="1766">
        <f>SUM(N38:Q38)</f>
        <v>114880</v>
      </c>
      <c r="O40" s="1767"/>
      <c r="P40" s="1767"/>
      <c r="Q40" s="1767"/>
      <c r="R40" s="1768">
        <f>SUM(R38:U38)</f>
        <v>123680</v>
      </c>
      <c r="S40" s="1769"/>
      <c r="T40" s="1769"/>
      <c r="U40" s="1769"/>
      <c r="V40" s="1766">
        <f>SUM(V38:BE38)</f>
        <v>671440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1183000</v>
      </c>
      <c r="BR40" s="141"/>
      <c r="BS40" s="289" t="s">
        <v>2034</v>
      </c>
      <c r="BT40" s="290">
        <f>BT34-BT36</f>
        <v>910000</v>
      </c>
      <c r="BU40" s="291">
        <f>(BT40-BQ34)/BT40</f>
        <v>1</v>
      </c>
      <c r="BV40" s="290">
        <f>BT40/BU34</f>
        <v>107.81990521327015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910000</v>
      </c>
      <c r="BQ42" s="294" t="s">
        <v>2039</v>
      </c>
      <c r="BR42" s="141"/>
    </row>
    <row r="43" spans="1:94" x14ac:dyDescent="0.25">
      <c r="J43" s="273" t="s">
        <v>180</v>
      </c>
      <c r="N43" s="274">
        <f t="shared" ref="N43:AS43" si="54">SUMPRODUCT(N16:N33,$BS$16:$BS$33)*40*1.2</f>
        <v>34464</v>
      </c>
      <c r="O43" s="278">
        <f t="shared" si="54"/>
        <v>34464</v>
      </c>
      <c r="P43" s="276">
        <f t="shared" si="54"/>
        <v>34464</v>
      </c>
      <c r="Q43" s="277">
        <f t="shared" si="54"/>
        <v>34464</v>
      </c>
      <c r="R43" s="278">
        <f t="shared" si="54"/>
        <v>37104</v>
      </c>
      <c r="S43" s="277">
        <f t="shared" si="54"/>
        <v>37104</v>
      </c>
      <c r="T43" s="278">
        <f t="shared" si="54"/>
        <v>37104</v>
      </c>
      <c r="U43" s="277">
        <f t="shared" si="54"/>
        <v>37104</v>
      </c>
      <c r="V43" s="278">
        <f t="shared" si="54"/>
        <v>37104</v>
      </c>
      <c r="W43" s="277">
        <f t="shared" si="54"/>
        <v>37104</v>
      </c>
      <c r="X43" s="278">
        <f t="shared" si="54"/>
        <v>37104</v>
      </c>
      <c r="Y43" s="277">
        <f t="shared" si="54"/>
        <v>37104</v>
      </c>
      <c r="Z43" s="278">
        <f t="shared" si="54"/>
        <v>37104</v>
      </c>
      <c r="AA43" s="277">
        <f t="shared" si="54"/>
        <v>34464</v>
      </c>
      <c r="AB43" s="278">
        <f t="shared" si="54"/>
        <v>34464</v>
      </c>
      <c r="AC43" s="277">
        <f t="shared" si="54"/>
        <v>34464</v>
      </c>
      <c r="AD43" s="278">
        <f t="shared" si="54"/>
        <v>34464</v>
      </c>
      <c r="AE43" s="277">
        <f t="shared" si="54"/>
        <v>37104</v>
      </c>
      <c r="AF43" s="278">
        <f t="shared" si="54"/>
        <v>37104</v>
      </c>
      <c r="AG43" s="277">
        <f t="shared" si="54"/>
        <v>37104</v>
      </c>
      <c r="AH43" s="277">
        <f t="shared" si="54"/>
        <v>37104</v>
      </c>
      <c r="AI43" s="278">
        <f t="shared" si="54"/>
        <v>37104</v>
      </c>
      <c r="AJ43" s="277">
        <f t="shared" si="54"/>
        <v>37104</v>
      </c>
      <c r="AK43" s="278">
        <f t="shared" si="54"/>
        <v>37104</v>
      </c>
      <c r="AL43" s="277">
        <f t="shared" si="54"/>
        <v>37104</v>
      </c>
      <c r="AM43" s="278">
        <f t="shared" si="54"/>
        <v>37104</v>
      </c>
      <c r="AN43" s="277">
        <f t="shared" si="54"/>
        <v>37104</v>
      </c>
      <c r="AO43" s="278">
        <f t="shared" si="54"/>
        <v>37104</v>
      </c>
      <c r="AP43" s="277">
        <f t="shared" si="54"/>
        <v>37104</v>
      </c>
      <c r="AQ43" s="278">
        <f t="shared" si="54"/>
        <v>37104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34464</v>
      </c>
      <c r="O44" s="1753">
        <f>SUM(O43:Q43)</f>
        <v>103392</v>
      </c>
      <c r="P44" s="1754"/>
      <c r="Q44" s="1755"/>
      <c r="R44" s="1756">
        <f>SUM(R43:S43)</f>
        <v>74208</v>
      </c>
      <c r="S44" s="1757"/>
      <c r="T44" s="1753">
        <f>SUM(T43:U43)</f>
        <v>74208</v>
      </c>
      <c r="U44" s="1755"/>
      <c r="V44" s="1756">
        <f>SUM(V43:AS43)</f>
        <v>805728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1092000</v>
      </c>
      <c r="BU44" s="286">
        <f>(BT44-BQ34)/BT44</f>
        <v>1</v>
      </c>
      <c r="BV44" s="285">
        <f>BT44/BU34</f>
        <v>129.38388625592418</v>
      </c>
    </row>
    <row r="45" spans="1:94" ht="14.4" thickBot="1" x14ac:dyDescent="0.3">
      <c r="J45" s="287" t="s">
        <v>2032</v>
      </c>
      <c r="N45" s="1744">
        <f>SUM(N43:Q43)</f>
        <v>137856</v>
      </c>
      <c r="O45" s="1745"/>
      <c r="P45" s="1745"/>
      <c r="Q45" s="1746"/>
      <c r="R45" s="1759">
        <f t="shared" ref="R45" si="56">SUM(R43:U43)</f>
        <v>148416</v>
      </c>
      <c r="S45" s="1760"/>
      <c r="T45" s="1760"/>
      <c r="U45" s="1761"/>
      <c r="V45" s="1744">
        <f t="shared" ref="V45" si="57">SUM(V43:BE43)</f>
        <v>805728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1092000</v>
      </c>
      <c r="BU45" s="291">
        <f>(BT45-BQ34)/BT45</f>
        <v>1</v>
      </c>
      <c r="BV45" s="290">
        <f>BT45/BU34</f>
        <v>129.38388625592418</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37336</v>
      </c>
      <c r="O48" s="278">
        <f t="shared" si="60"/>
        <v>37336</v>
      </c>
      <c r="P48" s="276">
        <f t="shared" si="60"/>
        <v>37336</v>
      </c>
      <c r="Q48" s="277">
        <f t="shared" si="60"/>
        <v>37336</v>
      </c>
      <c r="R48" s="278">
        <f t="shared" si="60"/>
        <v>40196</v>
      </c>
      <c r="S48" s="277">
        <f t="shared" si="60"/>
        <v>40196</v>
      </c>
      <c r="T48" s="278">
        <f t="shared" si="60"/>
        <v>40196</v>
      </c>
      <c r="U48" s="277">
        <f t="shared" si="60"/>
        <v>40196</v>
      </c>
      <c r="V48" s="278">
        <f t="shared" si="60"/>
        <v>40196</v>
      </c>
      <c r="W48" s="277">
        <f t="shared" si="60"/>
        <v>40196</v>
      </c>
      <c r="X48" s="278">
        <f t="shared" si="60"/>
        <v>40196</v>
      </c>
      <c r="Y48" s="277">
        <f t="shared" si="60"/>
        <v>40196</v>
      </c>
      <c r="Z48" s="278">
        <f t="shared" si="60"/>
        <v>40196</v>
      </c>
      <c r="AA48" s="277">
        <f t="shared" si="60"/>
        <v>37336</v>
      </c>
      <c r="AB48" s="278">
        <f t="shared" si="60"/>
        <v>37336</v>
      </c>
      <c r="AC48" s="277">
        <f t="shared" si="60"/>
        <v>37336</v>
      </c>
      <c r="AD48" s="278">
        <f t="shared" si="60"/>
        <v>37336</v>
      </c>
      <c r="AE48" s="277">
        <f t="shared" si="60"/>
        <v>40196</v>
      </c>
      <c r="AF48" s="278">
        <f t="shared" si="60"/>
        <v>40196</v>
      </c>
      <c r="AG48" s="277">
        <f t="shared" si="60"/>
        <v>40196</v>
      </c>
      <c r="AH48" s="277">
        <f t="shared" si="60"/>
        <v>40196</v>
      </c>
      <c r="AI48" s="278">
        <f t="shared" si="60"/>
        <v>40196</v>
      </c>
      <c r="AJ48" s="277">
        <f t="shared" si="60"/>
        <v>40196</v>
      </c>
      <c r="AK48" s="278">
        <f t="shared" si="60"/>
        <v>40196</v>
      </c>
      <c r="AL48" s="277">
        <f t="shared" si="60"/>
        <v>40196</v>
      </c>
      <c r="AM48" s="278">
        <f t="shared" si="60"/>
        <v>40196</v>
      </c>
      <c r="AN48" s="277">
        <f t="shared" si="60"/>
        <v>40196</v>
      </c>
      <c r="AO48" s="278">
        <f t="shared" si="60"/>
        <v>40196</v>
      </c>
      <c r="AP48" s="277">
        <f t="shared" si="60"/>
        <v>40196</v>
      </c>
      <c r="AQ48" s="278">
        <f t="shared" si="60"/>
        <v>40196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37336</v>
      </c>
      <c r="O49" s="1753">
        <f>SUM(O48:Q48)</f>
        <v>112008</v>
      </c>
      <c r="P49" s="1754"/>
      <c r="Q49" s="1755"/>
      <c r="R49" s="1756">
        <f>SUM(R48:S48)</f>
        <v>80392</v>
      </c>
      <c r="S49" s="1757"/>
      <c r="T49" s="1753">
        <f>SUM(T48:U48)</f>
        <v>80392</v>
      </c>
      <c r="U49" s="1755"/>
      <c r="V49" s="1756">
        <f>SUM(V48:AS48)</f>
        <v>872872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149344</v>
      </c>
      <c r="O50" s="1745"/>
      <c r="P50" s="1745"/>
      <c r="Q50" s="1746"/>
      <c r="R50" s="1759">
        <f>SUM(R48:U48)</f>
        <v>160784</v>
      </c>
      <c r="S50" s="1760"/>
      <c r="T50" s="1760"/>
      <c r="U50" s="1761"/>
      <c r="V50" s="1744">
        <f t="shared" ref="V50" si="62">SUM(V48:BE48)</f>
        <v>872872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1010625</v>
      </c>
    </row>
    <row r="52" spans="1:68" x14ac:dyDescent="0.25">
      <c r="J52" s="304" t="s">
        <v>2048</v>
      </c>
      <c r="K52" s="305">
        <f>+BP34/BO34/8</f>
        <v>107.81990521327015</v>
      </c>
    </row>
    <row r="53" spans="1:68" x14ac:dyDescent="0.25">
      <c r="J53" s="306" t="s">
        <v>2049</v>
      </c>
      <c r="K53" s="307">
        <f>+BP39/BO34/8</f>
        <v>129.38388625592418</v>
      </c>
    </row>
    <row r="54" spans="1:68" ht="14.4" thickBot="1" x14ac:dyDescent="0.3">
      <c r="J54" s="308" t="s">
        <v>2050</v>
      </c>
      <c r="K54" s="309">
        <f>+BP40/BO34/8</f>
        <v>140.16587677725119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910000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910000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0.56338461538461537</v>
      </c>
      <c r="C52" s="938">
        <v>0.47</v>
      </c>
      <c r="D52" s="939">
        <f>B52-C52</f>
        <v>9.3384615384615399E-2</v>
      </c>
      <c r="E52" s="940">
        <f>'2. Roles &amp; Pricing'!D289/'2. Roles &amp; Pricing'!M289</f>
        <v>107.81990521327015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1518166.6666666667</v>
      </c>
      <c r="D56" s="1231">
        <f>('4. Summary &amp; Totals'!$C$67)/(1-D55)+'4. Summary &amp; Totals'!$C$68</f>
        <v>1597991.2280701753</v>
      </c>
      <c r="E56" s="1231">
        <f>('4. Summary &amp; Totals'!$C$67)/(1-E55)+'4. Summary &amp; Totals'!$C$68</f>
        <v>1656045.4545454544</v>
      </c>
      <c r="F56" s="1231">
        <f>('4. Summary &amp; Totals'!$C$67)/(1-F55)+'4. Summary &amp; Totals'!$C$68</f>
        <v>1821500</v>
      </c>
      <c r="G56" s="1231">
        <f>('4. Summary &amp; Totals'!$C$67)/(1-G55)+'4. Summary &amp; Totals'!$C$68</f>
        <v>2023722.2222222225</v>
      </c>
      <c r="H56" s="1231" t="str">
        <f>IF(H55="Enter Test Margin %","",('4. Summary &amp; Totals'!$C$67)/(1-H55)+'4. Summary &amp; Totals'!$C$68)</f>
        <v/>
      </c>
      <c r="I56" s="1232" t="s">
        <v>3685</v>
      </c>
    </row>
    <row r="57" spans="2:9" x14ac:dyDescent="0.25">
      <c r="B57" s="945" t="s">
        <v>225</v>
      </c>
      <c r="C57" s="1233">
        <f>IFERROR(ROUNDUP((C56/'2. Roles &amp; Pricing'!$M$289),0),"")</f>
        <v>180</v>
      </c>
      <c r="D57" s="1233">
        <f>ROUNDUP(IFERROR(D56/'2. Roles &amp; Pricing'!$M$289,""),0)</f>
        <v>190</v>
      </c>
      <c r="E57" s="1233">
        <f>ROUNDUP(IFERROR(E56/'2. Roles &amp; Pricing'!$M$289,""),0)</f>
        <v>197</v>
      </c>
      <c r="F57" s="1233">
        <f>ROUNDUP(IFERROR(F56/'2. Roles &amp; Pricing'!$M$289,""),0)</f>
        <v>216</v>
      </c>
      <c r="G57" s="1233">
        <f>ROUNDUP(IFERROR(G56/'2. Roles &amp; Pricing'!$M$289,""),0)</f>
        <v>240</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910000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1010625</v>
      </c>
      <c r="D36" s="413"/>
      <c r="E36" s="594"/>
      <c r="F36" s="594"/>
      <c r="G36" s="413"/>
      <c r="S36" s="581"/>
      <c r="T36" s="596"/>
    </row>
    <row r="37" spans="2:20" x14ac:dyDescent="0.25">
      <c r="B37" s="963" t="s">
        <v>3227</v>
      </c>
      <c r="C37" s="1408">
        <f>C53</f>
        <v>0.58576763485477179</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1010625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0.58576763485477179</v>
      </c>
      <c r="E53" s="413"/>
      <c r="J53" s="495"/>
      <c r="K53" s="601"/>
      <c r="L53" s="496"/>
    </row>
    <row r="54" spans="2:20" x14ac:dyDescent="0.25">
      <c r="B54" s="867" t="s">
        <v>111</v>
      </c>
      <c r="C54" s="1413">
        <f>IFERROR('2. Roles &amp; Pricing'!$D$289/'2. Roles &amp; Pricing'!M289,"")</f>
        <v>107.81990521327015</v>
      </c>
      <c r="E54" s="413"/>
      <c r="J54" s="495"/>
      <c r="K54" s="601"/>
      <c r="L54" s="496"/>
    </row>
    <row r="55" spans="2:20" x14ac:dyDescent="0.25">
      <c r="B55" s="1239" t="s">
        <v>2093</v>
      </c>
      <c r="C55" s="1414">
        <f>IFERROR(($C$71+$C$67*(1+C56)),"Enter Contingency % on Summary Inputs")</f>
        <v>962500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962500</v>
      </c>
      <c r="E60" s="484"/>
      <c r="J60" s="495"/>
      <c r="K60" s="601"/>
      <c r="L60" s="496"/>
      <c r="T60" s="605"/>
    </row>
    <row r="61" spans="2:20" x14ac:dyDescent="0.25">
      <c r="B61" s="1238" t="s">
        <v>2081</v>
      </c>
      <c r="C61" s="1540">
        <f>IFERROR(C60*(1+C56),"Incomplete Project Information")</f>
        <v>1010625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910000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45500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964000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397320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399320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175</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107.81990521327015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910000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1010625</v>
      </c>
      <c r="D26" s="1975"/>
      <c r="E26" s="1975"/>
      <c r="F26" s="1975"/>
      <c r="G26" s="1975"/>
      <c r="H26" s="1976"/>
      <c r="I26" s="1601"/>
      <c r="J26" s="1987"/>
      <c r="K26" s="1987"/>
      <c r="L26" s="1988"/>
    </row>
    <row r="27" spans="2:19" ht="19.95" customHeight="1" x14ac:dyDescent="0.25">
      <c r="B27" s="999" t="s">
        <v>1673</v>
      </c>
      <c r="C27" s="1977">
        <f>'4. Summary &amp; Totals'!C37</f>
        <v>0.58576763485477179</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107.81990521327015</v>
      </c>
      <c r="D30" s="1886"/>
      <c r="E30" s="1886"/>
      <c r="F30" s="1887"/>
      <c r="G30" s="1881">
        <f>'2. Roles &amp; Pricing'!F289/'2. Roles &amp; Pricing'!M289</f>
        <v>47.075829383886258</v>
      </c>
      <c r="H30" s="1882"/>
      <c r="I30" s="1599" t="str">
        <f>IF(OR(C30="",E30=""),"MISSING INFO","")</f>
        <v>MISSING INFO</v>
      </c>
      <c r="J30" s="1966"/>
      <c r="K30" s="1966"/>
      <c r="L30" s="1967"/>
    </row>
    <row r="31" spans="2:19" ht="19.95" customHeight="1" x14ac:dyDescent="0.25">
      <c r="B31" s="999" t="s">
        <v>1898</v>
      </c>
      <c r="C31" s="1885">
        <f>'4. Summary &amp; Totals'!C86</f>
        <v>175</v>
      </c>
      <c r="D31" s="1886"/>
      <c r="E31" s="1886"/>
      <c r="F31" s="1887"/>
      <c r="G31" s="1881">
        <f>SUMIFS('2. Roles &amp; Pricing'!$F$291:$F$390,'2. Roles &amp; Pricing'!$W$48:$W$147,"Onshore")/SUMIFS('2. Roles &amp; Pricing'!$M$291:$M$390,'2. Roles &amp; Pricing'!$W$48:$W$147,"Onshore")</f>
        <v>80.833333333333329</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21.966942148760332</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756400</v>
      </c>
      <c r="D12" s="1104">
        <f>'2. Roles &amp; Pricing'!AE28</f>
        <v>252400</v>
      </c>
      <c r="E12" s="1105">
        <f>'2. Roles &amp; Pricing'!AF28</f>
        <v>330400</v>
      </c>
    </row>
    <row r="13" spans="2:9" x14ac:dyDescent="0.25">
      <c r="B13" s="1106" t="s">
        <v>1675</v>
      </c>
      <c r="C13" s="1095">
        <f>'2. Roles &amp; Pricing'!AD29</f>
        <v>333840</v>
      </c>
      <c r="D13" s="1095">
        <f>'2. Roles &amp; Pricing'!AE29</f>
        <v>99840</v>
      </c>
      <c r="E13" s="1107">
        <f>'2. Roles &amp; Pricing'!AF29</f>
        <v>141840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794220</v>
      </c>
      <c r="D16" s="1114">
        <f>IFERROR(IF(D14="Manual Entry",(D12+(D12*D15)),(D12+D14+(D12*D15))),"")</f>
        <v>265020</v>
      </c>
      <c r="E16" s="1115">
        <f>IFERROR(IF(E14="Manual Entry",(E12+(E12*E15)),(E12+E14+(E12*E15))),"")</f>
        <v>346920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0.55864621893178212</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0.57070217917675548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60.769230769230766</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35.111111111111114</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105.33333333333333</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58.774647887323944</v>
      </c>
      <c r="D23" s="1099">
        <f>'2. Roles &amp; Pricing'!AE30</f>
        <v>48</v>
      </c>
      <c r="E23" s="1118">
        <f>'2. Roles &amp; Pricing'!AF30</f>
        <v>43.243902439024389</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756400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330400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3.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2025-08-28T13:49:42Z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