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9731476C-F663-4C51-BF66-27F059AD7F7D}"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<sst xmlns="http://schemas.openxmlformats.org/spreadsheetml/2006/main" count="22831" uniqueCount="3694">
  <si>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</si>
  <si>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</si>
  <si>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</si>
  <si>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</si>
  <si>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</si>
  <si>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</si>
  <si>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</si>
  <si>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</si>
  <si>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</si>
  <si>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</si>
  <si>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</si>
  <si>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</si>
  <si>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</si>
  <si>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</si>
  <si>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</si>
  <si>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</si>
  <si>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</si>
  <si>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</si>
  <si>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</si>
  <si>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</si>
  <si>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</si>
  <si>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</si>
  <si>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</si>
  <si>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</si>
  <si>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</si>
  <si>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</si>
  <si>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</si>
  <si>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</si>
  <si>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</si>
  <si>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</si>
  <si>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</si>
  <si>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</si>
  <si>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</si>
  <si>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</si>
  <si>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</si>
  <si>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</si>
  <si>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</si>
  <si>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</si>
  <si>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</si>
  <si>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</si>
  <si>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</si>
  <si>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</si>
  <si>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</si>
  <si>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</si>
  <si>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</si>
  <si>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</si>
  <si>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</si>
  <si>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</si>
  <si>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</si>
  <si>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</si>
  <si>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</si>
  <si>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</si>
  <si>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</si>
  <si>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</si>
  <si>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</si>
  <si>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</si>
  <si>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</si>
  <si>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</si>
  <si>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</si>
  <si>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</si>
  <si>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</si>
  <si>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</si>
  <si>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</si>
  <si>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</si>
  <si>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</si>
  <si>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</si>
  <si>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</si>
  <si>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</si>
  <si>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</si>
  <si>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</si>
  <si>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</si>
  <si>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</si>
  <si>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</si>
  <si>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</si>
  <si>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</si>
  <si>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</si>
  <si>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</si>
  <si>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</si>
  <si>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</si>
  <si>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</si>
  <si>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</si>
  <si>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</si>
  <si>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</si>
  <si>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</si>
  <si>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</si>
  <si>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</si>
  <si>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</si>
  <si>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</si>
  <si>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</si>
  <si>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</si>
  <si>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</si>
  <si>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</si>
  <si>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</si>
  <si>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</si>
  <si>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</si>
  <si>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</si>
  <si>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</si>
  <si>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</si>
  <si>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</si>
  <si>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</si>
  <si>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</si>
  <si>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</si>
  <si>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</si>
  <si>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</si>
  <si>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</si>
  <si>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</si>
  <si>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</si>
  <si>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</si>
  <si>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</si>
  <si>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</si>
  <si>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</si>
  <si>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</si>
  <si>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</si>
  <si>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</si>
  <si>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</si>
  <si>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</si>
  <si>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</si>
  <si>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</si>
  <si>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</si>
  <si>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</si>
  <si>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</si>
  <si>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</si>
  <si>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</si>
  <si>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</si>
  <si>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</si>
  <si>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</si>
  <si>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</si>
  <si>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</si>
  <si>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</si>
  <si>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</si>
  <si>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</si>
  <si>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</si>
  <si>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</si>
  <si>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</si>
  <si>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</si>
  <si>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</si>
  <si>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</si>
  <si>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</si>
  <si>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</si>
  <si>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</si>
  <si>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</si>
  <si>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</si>
  <si>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</si>
  <si>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</si>
  <si>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</si>
  <si>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</si>
  <si>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</si>
  <si>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</si>
  <si>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</si>
  <si>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</si>
  <si>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</si>
  <si>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</si>
  <si>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</si>
  <si>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</si>
  <si>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</si>
  <si>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</si>
  <si>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</si>
  <si>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</si>
  <si>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</si>
  <si>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</si>
  <si>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</si>
  <si>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</si>
  <si>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</si>
  <si>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</si>
  <si>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</si>
  <si>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</si>
  <si>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</si>
  <si>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</si>
  <si>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</si>
  <si>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</si>
  <si>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</si>
  <si>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</si>
  <si>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</si>
  <si>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</si>
  <si>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</si>
  <si>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</si>
  <si>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</si>
  <si>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</si>
  <si>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</si>
  <si>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</si>
  <si>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</si>
  <si>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</si>
  <si>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</si>
  <si>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</si>
  <si>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</si>
  <si>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</si>
  <si>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</si>
  <si>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</si>
  <si>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</si>
  <si>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</si>
  <si>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</si>
  <si>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</si>
  <si>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</si>
  <si>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</si>
  <si>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</si>
  <si>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</si>
  <si>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</si>
  <si>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</si>
  <si>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</si>
  <si>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</si>
  <si>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</si>
  <si>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</si>
  <si>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</si>
  <si>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</si>
  <si>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</si>
  <si>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</si>
  <si>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</si>
  <si>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</si>
  <si>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</si>
  <si>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</si>
  <si>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</si>
  <si>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</si>
  <si>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</si>
  <si>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</si>
  <si>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</si>
  <si>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</si>
  <si>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</si>
  <si>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</si>
  <si>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</si>
  <si>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</si>
  <si>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</si>
  <si>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</si>
  <si>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</si>
  <si>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</si>
  <si>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</si>
  <si>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</si>
  <si>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</si>
  <si>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</si>
  <si>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</si>
  <si>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</si>
  <si>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</si>
  <si>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</si>
  <si>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</si>
  <si>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</si>
  <si>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</si>
  <si>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</si>
  <si>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</si>
  <si>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</si>
  <si>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</si>
  <si>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</si>
  <si>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</si>
  <si>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</si>
  <si>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</si>
  <si>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</si>
  <si>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</si>
  <si>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</si>
  <si>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</si>
  <si>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</si>
  <si>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</si>
  <si>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</si>
  <si>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</si>
  <si>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</si>
  <si>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</si>
  <si>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</si>
  <si>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</si>
  <si>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</si>
  <si>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</si>
  <si>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</si>
  <si>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</si>
  <si>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</si>
  <si>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</si>
  <si>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</si>
  <si>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</si>
  <si>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</si>
  <si>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</si>
  <si>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</si>
  <si>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</si>
  <si>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</si>
  <si>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</si>
  <si>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</si>
  <si>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</si>
  <si>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</si>
  <si>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</si>
  <si>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</si>
  <si>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</si>
  <si>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</si>
  <si>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</si>
  <si>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</si>
  <si>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</si>
  <si>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</si>
  <si>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</si>
  <si>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</si>
  <si>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</si>
  <si>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</si>
  <si>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</si>
  <si>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</si>
  <si>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</si>
  <si>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</si>
  <si>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</si>
  <si>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</si>
  <si>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</si>
  <si>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</si>
  <si>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</si>
  <si>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</si>
  <si>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</si>
  <si>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</si>
  <si>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</si>
  <si>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</si>
  <si>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</si>
  <si>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</si>
  <si>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</si>
  <si>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</si>
  <si>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</si>
  <si>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</si>
  <si>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</si>
  <si>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</si>
  <si>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</si>
  <si>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</si>
  <si>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</si>
  <si>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</si>
  <si>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</si>
  <si>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</si>
  <si>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</si>
  <si>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</si>
  <si>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</si>
  <si>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</si>
  <si>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</si>
  <si>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</si>
  <si>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</si>
  <si>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</si>
  <si>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</si>
  <si>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</si>
  <si>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</si>
  <si>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</si>
  <si>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</si>
  <si>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</si>
  <si>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</si>
  <si>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</si>
  <si>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</si>
  <si>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</si>
  <si>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</si>
  <si>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</si>
  <si>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</si>
  <si>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</si>
  <si>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</si>
  <si>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</si>
  <si>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</si>
  <si>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</si>
  <si>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</si>
  <si>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</si>
  <si>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</si>
  <si>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</si>
  <si>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</si>
  <si>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</si>
  <si>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</si>
  <si>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</si>
  <si>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</si>
  <si>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</si>
  <si>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</si>
  <si>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</si>
  <si>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</si>
  <si>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</si>
  <si>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</si>
  <si>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</si>
  <si>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</si>
  <si>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</si>
  <si>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</si>
  <si>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</si>
  <si>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</si>
  <si>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</si>
  <si>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</si>
  <si>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</si>
  <si>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</si>
  <si>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</si>
  <si>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</si>
  <si>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</si>
  <si>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</si>
  <si>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</si>
  <si>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</si>
  <si>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</si>
  <si>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</si>
  <si>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</si>
  <si>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</si>
  <si>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</si>
  <si>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</si>
  <si>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</si>
  <si>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</si>
  <si>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</si>
  <si>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</si>
  <si>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</si>
  <si>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</si>
  <si>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</si>
  <si>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</si>
  <si>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</si>
  <si>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</si>
  <si>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</si>
  <si>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</si>
  <si>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</si>
  <si>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</si>
  <si>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</si>
  <si>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</si>
  <si>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</si>
  <si>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</si>
  <si>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</si>
  <si>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</si>
  <si>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</si>
  <si>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</si>
  <si>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</si>
  <si>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</si>
  <si>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</si>
  <si>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</si>
  <si>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</si>
  <si>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</si>
  <si>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</si>
  <si>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</si>
  <si>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</si>
  <si>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</si>
  <si>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</si>
  <si>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</si>
  <si>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</si>
  <si>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</si>
  <si>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</si>
  <si>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</si>
  <si>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</si>
  <si>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</si>
  <si>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</si>
  <si>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</si>
  <si>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</si>
  <si>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</si>
  <si>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</si>
  <si>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</si>
  <si>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</si>
  <si>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</si>
  <si>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</si>
  <si>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</si>
  <si>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</si>
  <si>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</si>
  <si>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</si>
  <si>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</si>
  <si>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</si>
  <si>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</si>
  <si>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</si>
  <si>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</si>
  <si>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</si>
  <si>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</si>
  <si>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</si>
  <si>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</si>
  <si>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</si>
  <si>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</si>
  <si>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</si>
  <si>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</si>
  <si>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</si>
  <si>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</si>
  <si>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</si>
  <si>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</si>
  <si>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</si>
  <si>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</si>
  <si>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</si>
  <si>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</si>
  <si>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</si>
  <si>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</si>
  <si>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</si>
  <si>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</si>
  <si>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</si>
  <si>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</si>
  <si>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</si>
  <si>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</si>
  <si>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</si>
  <si>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</si>
  <si>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</si>
  <si>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</si>
  <si>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</si>
  <si>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</si>
  <si>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</si>
  <si>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</si>
  <si>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</si>
  <si>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</si>
  <si>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</si>
  <si>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</si>
  <si>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</si>
  <si>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</si>
  <si>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</si>
  <si>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</si>
  <si>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</si>
  <si>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</si>
  <si>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</si>
  <si>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</si>
  <si>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</si>
  <si>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</si>
  <si>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</si>
  <si>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</si>
  <si>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</si>
  <si>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</si>
  <si>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</si>
  <si>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</si>
  <si>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</si>
  <si>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</si>
  <si>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</si>
  <si>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</si>
  <si>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</si>
  <si>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</si>
  <si>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</si>
  <si>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</si>
  <si>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</si>
  <si>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</si>
  <si>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</si>
  <si>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</si>
  <si>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</si>
  <si>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</si>
  <si>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</si>
  <si>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</si>
  <si>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</si>
  <si>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</si>
  <si>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</si>
  <si>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</si>
  <si>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</si>
  <si>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</si>
  <si>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</si>
  <si>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</si>
  <si>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</si>
  <si>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</si>
  <si>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</si>
  <si>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</si>
  <si>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</si>
  <si>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</si>
  <si>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</si>
  <si>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</si>
  <si>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</si>
  <si>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</si>
  <si>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</si>
  <si>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</si>
  <si>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</si>
  <si>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</si>
  <si>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</si>
  <si>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</si>
  <si>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</si>
  <si>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</si>
  <si>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</si>
  <si>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</si>
  <si>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</si>
  <si>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</si>
  <si>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</si>
  <si>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</si>
  <si>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</si>
  <si>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</si>
  <si>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</si>
  <si>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</si>
  <si>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</si>
  <si>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</si>
  <si>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</si>
  <si>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</si>
  <si>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</si>
  <si>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</si>
  <si>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</si>
  <si>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</si>
  <si>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</si>
  <si>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</si>
  <si>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</si>
  <si>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</si>
  <si>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</si>
  <si>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</si>
  <si>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</si>
  <si>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</si>
  <si>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</si>
  <si>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</si>
  <si>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</si>
  <si>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</si>
  <si>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</si>
  <si>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</si>
  <si>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</si>
  <si>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</si>
  <si>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</si>
  <si>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</si>
  <si>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</si>
  <si>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</si>
  <si>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</si>
  <si>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</si>
  <si>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</si>
  <si>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</si>
  <si>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</si>
  <si>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</si>
  <si>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</si>
  <si>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</si>
  <si>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</si>
  <si>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</si>
  <si>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</si>
  <si>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</si>
  <si>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</si>
  <si>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</si>
  <si>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</si>
  <si>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</si>
  <si>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</si>
  <si>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</si>
  <si>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</si>
  <si>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</si>
  <si>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</si>
  <si>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</si>
  <si>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</si>
  <si>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</si>
  <si>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</si>
  <si>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</si>
  <si>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</si>
  <si>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</si>
  <si>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</si>
  <si>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</si>
  <si>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</si>
  <si>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</si>
  <si>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</si>
  <si>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</si>
  <si>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</si>
  <si>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</si>
  <si>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</si>
  <si>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</si>
  <si>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</si>
  <si>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</si>
  <si>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</si>
  <si>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</si>
  <si>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</si>
  <si>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</si>
  <si>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</si>
  <si>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</si>
  <si>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</si>
  <si>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</si>
  <si>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</si>
  <si>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</si>
  <si>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</si>
  <si>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</si>
  <si>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</si>
  <si>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</si>
  <si>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</si>
  <si>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</si>
  <si>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</si>
  <si>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</si>
  <si>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</si>
  <si>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</si>
  <si>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</si>
  <si>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</si>
  <si>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</si>
  <si>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</si>
  <si>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</si>
  <si>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</si>
  <si>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</si>
  <si>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</si>
  <si>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</si>
  <si>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</si>
  <si>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</si>
  <si>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</si>
  <si>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</si>
  <si>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</si>
  <si>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</si>
  <si>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</si>
  <si>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</si>
  <si>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</si>
  <si>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</si>
  <si>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</si>
  <si>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</si>
  <si>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</si>
  <si>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</si>
  <si>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</si>
  <si>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</si>
  <si>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</si>
  <si>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</si>
  <si>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</si>
  <si>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</si>
  <si>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</si>
  <si>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</si>
  <si>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</si>
  <si>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</si>
  <si>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</si>
  <si>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</si>
  <si>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</si>
  <si>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</si>
  <si>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</si>
  <si>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</si>
  <si>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</si>
  <si>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</si>
  <si>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</si>
  <si>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</si>
  <si>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</si>
  <si>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</si>
  <si>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</si>
  <si>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</si>
  <si>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</si>
  <si>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</si>
  <si>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</si>
  <si>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</si>
  <si>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</si>
  <si>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</si>
  <si>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</si>
  <si>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</si>
  <si>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</si>
  <si>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</si>
  <si>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</si>
  <si>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</si>
  <si>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</si>
  <si>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</si>
  <si>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</si>
  <si>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</si>
  <si>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</si>
  <si>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</si>
  <si>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</si>
  <si>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</si>
  <si>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</si>
  <si>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</si>
  <si>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</si>
  <si>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</si>
  <si>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</si>
  <si>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</si>
  <si>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</si>
  <si>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</si>
  <si>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</si>
  <si>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</si>
  <si>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</si>
  <si>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</si>
  <si>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</si>
  <si>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</si>
  <si>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</si>
  <si>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</si>
  <si>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</si>
  <si>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</si>
  <si>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</si>
  <si>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</si>
  <si>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</si>
  <si>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</si>
  <si>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</si>
  <si>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</si>
  <si>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</si>
  <si>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</si>
  <si>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</si>
  <si>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</si>
  <si>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</si>
  <si>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</si>
  <si>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</si>
  <si>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</si>
  <si>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</si>
  <si>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</si>
  <si>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</si>
  <si>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</si>
  <si>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</si>
  <si>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</si>
  <si>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</si>
  <si>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</si>
  <si>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</si>
  <si>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</si>
  <si>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</si>
  <si>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</si>
  <si>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</si>
  <si>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</si>
  <si>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</si>
  <si>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</si>
  <si>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</si>
  <si>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</si>
  <si>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</si>
  <si>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</si>
  <si>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</si>
  <si>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</si>
  <si>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</si>
  <si>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</si>
  <si>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</si>
  <si>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</si>
  <si>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</si>
  <si>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</si>
  <si>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</si>
  <si>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</si>
  <si>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</si>
  <si>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</si>
  <si>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</si>
  <si>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</si>
  <si>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</si>
  <si>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</si>
  <si>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</si>
  <si>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</si>
  <si>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</si>
  <si>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</si>
  <si>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</si>
  <si>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</si>
  <si>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</si>
  <si>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</si>
  <si>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</si>
  <si>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</si>
  <si>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</si>
  <si>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</si>
  <si>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</si>
  <si>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</si>
  <si>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</si>
  <si>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</si>
  <si>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</si>
  <si>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</si>
  <si>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</si>
  <si>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</si>
  <si>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</si>
  <si>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</si>
  <si>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</si>
  <si>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</si>
  <si>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</si>
  <si>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</si>
  <si>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</si>
  <si>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</si>
  <si>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</si>
  <si>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</si>
  <si>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</si>
  <si>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</si>
  <si>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</si>
  <si>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</si>
  <si>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</si>
  <si>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</si>
  <si>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</si>
  <si>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</si>
  <si>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</si>
  <si>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</si>
  <si>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</si>
  <si>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</si>
  <si>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</si>
  <si>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</si>
  <si>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</si>
  <si>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</si>
  <si>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</si>
  <si>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</si>
  <si>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</si>
  <si>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</si>
  <si>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</si>
  <si>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</si>
  <si>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</si>
  <si>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</si>
  <si>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</si>
  <si>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</si>
  <si>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</si>
  <si>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</si>
  <si>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</si>
  <si>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</si>
  <si>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</si>
  <si>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</si>
  <si>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</si>
  <si>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</si>
  <si>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</si>
  <si>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</si>
  <si>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</si>
  <si>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</si>
  <si>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</si>
  <si>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</si>
  <si>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</si>
  <si>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</si>
  <si>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</si>
  <si>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</si>
  <si>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</si>
  <si>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</si>
  <si>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</si>
  <si>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</si>
  <si>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</si>
  <si>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</si>
  <si>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</si>
  <si>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</si>
  <si>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</si>
  <si>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</si>
  <si>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</si>
  <si>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</si>
  <si>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</si>
  <si>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</si>
  <si>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</si>
  <si>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</si>
  <si>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</si>
  <si>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</si>
  <si>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</si>
  <si>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</si>
  <si>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</si>
  <si>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</si>
  <si>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</si>
  <si>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</si>
  <si>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</si>
  <si>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</si>
  <si>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</si>
  <si>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</si>
  <si>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</si>
  <si>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</si>
  <si>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</si>
  <si>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</si>
  <si>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</si>
  <si>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</si>
  <si>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</si>
  <si>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</si>
  <si>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</si>
  <si>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</si>
  <si>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</si>
  <si>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</si>
  <si>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</si>
  <si>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</si>
  <si>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</si>
  <si>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</si>
  <si>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</si>
  <si>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</si>
  <si>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</si>
  <si>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</si>
  <si>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</si>
  <si>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</si>
  <si>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</si>
  <si>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</si>
  <si>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</si>
  <si>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</si>
  <si>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</si>
  <si>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</si>
  <si>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</si>
  <si>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</si>
  <si>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</si>
  <si>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</si>
  <si>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</si>
  <si>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</si>
  <si>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</si>
  <si>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</si>
  <si>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</si>
  <si>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</si>
  <si>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</si>
  <si>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</si>
  <si>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</si>
  <si>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</si>
  <si>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</si>
  <si>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</si>
  <si>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</si>
  <si>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</si>
  <si>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</si>
  <si>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</si>
  <si>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</si>
  <si>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</si>
  <si>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</si>
  <si>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</si>
  <si>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</si>
  <si>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</si>
  <si>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</si>
  <si>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</si>
  <si>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</si>
  <si>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</si>
  <si>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</si>
  <si>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</si>
  <si>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</si>
  <si>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</si>
  <si>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</si>
  <si>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</si>
  <si>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</si>
  <si>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</si>
  <si>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</si>
  <si>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</si>
  <si>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</si>
  <si>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</si>
  <si>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</si>
  <si>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</si>
  <si>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</si>
  <si>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</si>
  <si>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</si>
  <si>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</si>
  <si>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</si>
  <si>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</si>
  <si>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</si>
  <si>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</si>
  <si>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</si>
  <si>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</si>
  <si>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</si>
  <si>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</si>
  <si>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</si>
  <si>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</si>
  <si>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</si>
  <si>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</si>
  <si>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</si>
  <si>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</si>
  <si>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</si>
  <si>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</si>
  <si>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</si>
  <si>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</si>
  <si>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</si>
  <si>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</si>
  <si>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</si>
  <si>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</si>
  <si>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</si>
  <si>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</si>
  <si>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</si>
  <si>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</si>
  <si>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</si>
  <si>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</si>
  <si>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</si>
  <si>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</si>
  <si>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</si>
  <si>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</si>
  <si>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</si>
  <si>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</si>
  <si>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</si>
  <si>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</si>
  <si>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</si>
  <si>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</si>
  <si>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</si>
  <si>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</si>
  <si>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</si>
  <si>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</si>
  <si>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</si>
  <si>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</si>
  <si>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</si>
  <si>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</si>
  <si>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</si>
  <si>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</si>
  <si>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</si>
  <si>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</si>
  <si>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</si>
  <si>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</si>
  <si>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</si>
  <si>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</si>
  <si>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</si>
  <si>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</si>
  <si>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</si>
  <si>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</si>
  <si>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</si>
  <si>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</si>
  <si>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</si>
  <si>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</si>
  <si>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</si>
  <si>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</si>
  <si>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</si>
  <si>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</si>
  <si>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</si>
  <si>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</si>
  <si>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</si>
  <si>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</si>
  <si>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</si>
  <si>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</si>
  <si>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</si>
  <si>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</si>
  <si>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</si>
  <si>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</si>
  <si>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</si>
  <si>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</si>
  <si>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</si>
  <si>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</si>
  <si>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</si>
  <si>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</si>
  <si>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</si>
  <si>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</si>
  <si>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</si>
  <si>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</si>
  <si>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</si>
  <si>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</si>
  <si>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</si>
  <si>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</si>
  <si>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</si>
  <si>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</si>
  <si>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</si>
  <si>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</si>
  <si>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</si>
  <si>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</si>
  <si>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</si>
  <si>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</si>
  <si>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</si>
  <si>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</si>
  <si>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</si>
  <si>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</si>
  <si>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</si>
  <si>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</si>
  <si>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</si>
  <si>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</si>
  <si>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</si>
  <si>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</si>
  <si>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</si>
  <si>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</si>
  <si>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</si>
  <si>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</si>
  <si>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</si>
  <si>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</si>
  <si>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</si>
  <si>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</si>
  <si>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</si>
  <si>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</si>
  <si>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</si>
  <si>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</si>
  <si>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</si>
  <si>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</si>
  <si>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</si>
  <si>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</si>
  <si>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</si>
  <si>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</si>
  <si>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</si>
  <si>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</si>
  <si>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</si>
  <si>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</si>
  <si>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</si>
  <si>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</si>
  <si>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</si>
  <si>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</si>
  <si>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</si>
  <si>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</si>
  <si>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</si>
  <si>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</si>
  <si>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</si>
  <si>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</si>
  <si>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</si>
  <si>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</si>
  <si>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</si>
  <si>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</si>
  <si>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</si>
  <si>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</si>
  <si>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</si>
  <si>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</si>
  <si>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</si>
  <si>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</si>
  <si>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</si>
  <si>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</si>
  <si>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</si>
  <si>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</si>
  <si>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</si>
  <si>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</si>
  <si>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</si>
  <si>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</si>
  <si>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</si>
  <si>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</si>
  <si>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</si>
  <si>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</si>
  <si>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</si>
  <si>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</si>
  <si>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</si>
  <si>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</si>
  <si>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</si>
  <si>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</si>
  <si>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</si>
  <si>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</si>
  <si>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</si>
  <si>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</si>
  <si>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</si>
  <si>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</si>
  <si>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</si>
  <si>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</si>
  <si>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</si>
  <si>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</si>
  <si>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</si>
  <si>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</si>
  <si>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</si>
  <si>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</si>
  <si>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</si>
  <si>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</si>
  <si>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</si>
  <si>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</si>
  <si>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</si>
  <si>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</si>
  <si>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</si>
  <si>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</si>
  <si>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</si>
  <si>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</si>
  <si>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</si>
  <si>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</si>
  <si>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</si>
  <si>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</si>
  <si>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</si>
  <si>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</si>
  <si>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</si>
  <si>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</si>
  <si>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</si>
  <si>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</si>
  <si>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</si>
  <si>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</si>
  <si>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</si>
  <si>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</si>
  <si>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</si>
  <si>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</si>
  <si>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</si>
  <si>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</si>
  <si>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</si>
  <si>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</si>
  <si>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</si>
  <si>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</si>
  <si>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</si>
  <si>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</si>
  <si>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</si>
  <si>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</si>
  <si>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</si>
  <si>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</si>
  <si>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</si>
  <si>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</si>
  <si>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</si>
  <si>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</si>
  <si>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</si>
  <si>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</si>
  <si>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</si>
  <si>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</si>
  <si>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</si>
  <si>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</si>
  <si>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</si>
  <si>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</si>
  <si>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</si>
  <si>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</si>
  <si>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</si>
  <si>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</si>
  <si>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</si>
  <si>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</si>
  <si>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</si>
  <si>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</si>
  <si>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</si>
  <si>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</si>
  <si>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</si>
  <si>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</si>
  <si>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</si>
  <si>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</si>
  <si>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</si>
  <si>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</si>
  <si>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</si>
  <si>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</si>
  <si>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</si>
  <si>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</si>
  <si>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</si>
  <si>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</si>
  <si>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</si>
  <si>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</si>
  <si>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</si>
  <si>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</si>
  <si>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</si>
  <si>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</si>
  <si>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</si>
  <si>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</si>
  <si>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</si>
  <si>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</si>
  <si>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</si>
  <si>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</si>
  <si>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</si>
  <si>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</si>
  <si>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</si>
  <si>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</si>
  <si>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</si>
  <si>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</si>
  <si>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</si>
  <si>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</si>
  <si>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</si>
  <si>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</si>
  <si>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</si>
  <si>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</si>
  <si>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</si>
  <si>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</si>
  <si>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</si>
  <si>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</si>
  <si>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</si>
  <si>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</si>
  <si>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</si>
  <si>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</si>
  <si>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</si>
  <si>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</si>
  <si>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</si>
  <si>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</si>
  <si>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</si>
  <si>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</si>
  <si>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</si>
  <si>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</si>
  <si>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</si>
  <si>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</si>
  <si>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</si>
  <si>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</si>
  <si>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</si>
  <si>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</si>
  <si>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</si>
  <si>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</si>
  <si>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</si>
  <si>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</si>
  <si>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</si>
  <si>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</si>
  <si>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</si>
  <si>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</si>
  <si>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</si>
  <si>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</si>
  <si>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</si>
  <si>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</si>
  <si>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</si>
  <si>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</si>
  <si>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</si>
  <si>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</si>
  <si>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</si>
  <si>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</si>
  <si>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</si>
  <si>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</si>
  <si>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</si>
  <si>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</si>
  <si>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</si>
  <si>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</si>
  <si>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</si>
  <si>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</si>
  <si>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</si>
  <si>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</si>
  <si>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</si>
  <si>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</si>
  <si>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</si>
  <si>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</si>
  <si>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</si>
  <si>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</si>
  <si>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</si>
  <si>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</si>
  <si>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</si>
  <si>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</si>
  <si>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</si>
  <si>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</si>
  <si>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</si>
  <si>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</si>
  <si>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</si>
  <si>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</si>
  <si>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</si>
  <si>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</si>
  <si>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</si>
  <si>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</si>
  <si>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</si>
  <si>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</si>
  <si>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</si>
  <si>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</si>
  <si>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</si>
  <si>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</si>
  <si>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</si>
  <si>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</si>
  <si>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</si>
  <si>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</si>
  <si>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</si>
  <si>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</si>
  <si>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</si>
  <si>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</si>
  <si>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</si>
  <si>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</si>
  <si>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</si>
  <si>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</si>
  <si>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</si>
  <si>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</si>
  <si>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</si>
  <si>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</si>
  <si>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</si>
  <si>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</si>
  <si>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</si>
  <si>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</si>
  <si>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</si>
  <si>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</si>
  <si>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</si>
  <si>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</si>
  <si>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</si>
  <si>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</si>
  <si>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</si>
  <si>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</si>
  <si>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</si>
  <si>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</si>
  <si>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</si>
  <si>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</si>
  <si>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</si>
  <si>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</si>
  <si>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</si>
  <si>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</si>
  <si>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</si>
  <si>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</si>
  <si>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</si>
  <si>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</si>
  <si>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</si>
  <si>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</si>
  <si>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</si>
  <si>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</si>
  <si>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</si>
  <si>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</si>
  <si>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</si>
  <si>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</si>
  <si>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</si>
  <si>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</si>
  <si>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</si>
  <si>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</si>
  <si>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</si>
  <si>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</si>
  <si>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</si>
  <si>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</si>
  <si>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</si>
  <si>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</si>
  <si>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</si>
  <si>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</si>
  <si>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</si>
  <si>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</si>
  <si>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</si>
  <si>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</si>
  <si>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</si>
  <si>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</si>
  <si>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</si>
  <si>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</si>
  <si>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</si>
  <si>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</si>
  <si>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</si>
  <si>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</si>
  <si>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</si>
  <si>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</si>
  <si>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</si>
  <si>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</si>
  <si>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</si>
  <si>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</si>
  <si>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</si>
  <si>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</si>
  <si>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</si>
  <si>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</si>
  <si>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</si>
  <si>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</si>
  <si>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</si>
  <si>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</si>
  <si>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</si>
  <si>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</si>
  <si>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</si>
  <si>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</si>
  <si>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</si>
  <si>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</si>
  <si>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</si>
  <si>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</si>
  <si>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</si>
  <si>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</si>
  <si>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</si>
  <si>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</si>
  <si>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</si>
  <si>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</si>
  <si>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</si>
  <si>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</si>
  <si>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</si>
  <si>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</si>
  <si>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</si>
  <si>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</si>
  <si>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</si>
  <si>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</si>
  <si>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</si>
  <si>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</si>
  <si>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</si>
  <si>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</si>
  <si>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</si>
  <si>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</si>
  <si>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</si>
  <si>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</si>
  <si>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</si>
  <si>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</si>
  <si>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</si>
  <si>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</si>
  <si>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</si>
  <si>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</si>
  <si>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</si>
  <si>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</si>
  <si>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</si>
  <si>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</si>
  <si>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</si>
  <si>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</si>
  <si>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</si>
  <si>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</si>
  <si>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</si>
  <si>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</si>
  <si>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</si>
  <si>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</si>
  <si>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</si>
  <si>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</si>
  <si>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</si>
  <si>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</si>
  <si>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</si>
  <si>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</si>
  <si>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</si>
  <si>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</si>
  <si>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</si>
  <si>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</si>
  <si>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</si>
  <si>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</si>
  <si>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</si>
  <si>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</si>
  <si>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</si>
  <si>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</si>
  <si>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</si>
  <si>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</si>
  <si>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</si>
  <si>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</si>
  <si>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</si>
  <si>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</si>
  <si>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</si>
  <si>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</si>
  <si>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</si>
  <si>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</si>
  <si>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</si>
  <si>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</si>
  <si>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</si>
  <si>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</si>
  <si>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</si>
  <si>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</si>
  <si>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</si>
  <si>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</si>
  <si>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</si>
  <si>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</si>
  <si>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</si>
  <si>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</si>
  <si>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</si>
  <si>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</si>
  <si>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</si>
  <si>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</si>
  <si>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</si>
  <si>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</si>
  <si>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</si>
  <si>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</si>
  <si>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</si>
  <si>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</si>
  <si>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</si>
  <si>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</si>
  <si>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</si>
  <si>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</si>
  <si>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</si>
  <si>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</si>
  <si>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</si>
  <si>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</si>
  <si>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</si>
  <si>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</si>
  <si>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</si>
  <si>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</si>
  <si>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</si>
  <si>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</si>
  <si>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</si>
  <si>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</si>
  <si>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</si>
  <si>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</si>
  <si>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</si>
  <si>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</si>
  <si>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</si>
  <si>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</si>
  <si>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</si>
  <si>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</si>
  <si>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</si>
  <si>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</si>
  <si>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</si>
  <si>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</si>
  <si>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</si>
  <si>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</si>
  <si>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</si>
  <si>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</si>
  <si>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</si>
  <si>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</si>
  <si>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</si>
  <si>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</si>
  <si>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</si>
  <si>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</si>
  <si>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</si>
  <si>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</si>
  <si>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</si>
  <si>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</si>
  <si>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</si>
  <si>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</si>
  <si>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</si>
  <si>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</si>
  <si>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</si>
  <si>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</si>
  <si>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</si>
  <si>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</si>
  <si>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</si>
  <si>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</si>
  <si>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</si>
  <si>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</si>
  <si>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</si>
  <si>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</si>
  <si>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</si>
  <si>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</si>
  <si>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</si>
  <si>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</si>
  <si>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</si>
  <si>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</si>
  <si>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</si>
  <si>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</si>
  <si>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</si>
  <si>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</si>
  <si>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</si>
  <si>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</si>
  <si>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</si>
  <si>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</si>
  <si>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</si>
  <si>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</si>
  <si>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</si>
  <si>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</si>
  <si>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</si>
  <si>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</si>
  <si>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</si>
  <si>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</si>
  <si>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</si>
  <si>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</si>
  <si>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</si>
  <si>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</si>
  <si>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</si>
  <si>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</si>
  <si>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</si>
  <si>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</si>
  <si>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</si>
  <si>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</si>
  <si>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</si>
  <si>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</si>
  <si>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</si>
  <si>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</si>
  <si>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</si>
  <si>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</si>
  <si>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</si>
  <si>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</si>
  <si>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</si>
  <si>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</si>
  <si>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</si>
  <si>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</si>
  <si>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</si>
  <si>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</si>
  <si>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</si>
  <si>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</si>
  <si>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</si>
  <si>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</si>
  <si>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</si>
  <si>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</si>
  <si>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</si>
  <si>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</si>
  <si>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</si>
  <si>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</si>
  <si>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</si>
  <si>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</si>
  <si>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</si>
  <si>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</si>
  <si>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</si>
  <si>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</si>
  <si>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</si>
  <si>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</si>
  <si>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</si>
  <si>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</si>
  <si>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</si>
  <si>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</si>
  <si>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</si>
  <si>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</si>
  <si>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</si>
  <si>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</si>
  <si>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</si>
  <si>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</si>
  <si>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</si>
  <si>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</si>
  <si>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</si>
  <si>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</si>
  <si>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</si>
  <si>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</si>
  <si>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</si>
  <si>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</si>
  <si>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</si>
  <si>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</si>
  <si>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</si>
  <si>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</si>
  <si>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</si>
  <si>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</si>
  <si>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</si>
  <si>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</si>
  <si>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</si>
  <si>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</si>
  <si>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</si>
  <si>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</si>
  <si>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</si>
  <si>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</si>
  <si>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</si>
  <si>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</si>
  <si>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</si>
  <si>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</si>
  <si>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</si>
  <si>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</si>
  <si>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</si>
  <si>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</si>
  <si>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</si>
  <si>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</si>
  <si>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</si>
  <si>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</si>
  <si>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</si>
  <si>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</si>
  <si>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</si>
  <si>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</si>
  <si>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</si>
  <si>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</si>
  <si>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</si>
  <si>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</si>
  <si>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</si>
  <si>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</si>
  <si>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</si>
  <si>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</si>
  <si>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</si>
  <si>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</si>
  <si>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</si>
  <si>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</si>
  <si>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</si>
  <si>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</si>
  <si>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</si>
  <si>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</si>
  <si>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</si>
  <si>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</si>
  <si>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</si>
  <si>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</si>
  <si>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</si>
  <si>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</si>
  <si>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</si>
  <si>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</si>
  <si>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</si>
  <si>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</si>
  <si>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</si>
  <si>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</si>
  <si>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</si>
  <si>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</si>
  <si>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</si>
  <si>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</si>
  <si>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</si>
  <si>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</si>
  <si>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</si>
  <si>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</si>
  <si>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</si>
  <si>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</si>
  <si>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</si>
  <si>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</si>
  <si>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</si>
  <si>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</si>
  <si>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</si>
  <si>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</si>
  <si>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</si>
  <si>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</si>
  <si>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</si>
  <si>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</si>
  <si>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</si>
  <si>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</si>
  <si>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</si>
  <si>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</si>
  <si>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</si>
  <si>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</si>
  <si>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</si>
  <si>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</si>
  <si>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</si>
  <si>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</si>
  <si>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</si>
  <si>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</si>
  <si>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</si>
  <si>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</si>
  <si>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</si>
  <si>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</si>
  <si>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</si>
  <si>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</si>
  <si>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</si>
  <si>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</si>
  <si>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</si>
  <si>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</si>
  <si>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</si>
  <si>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</si>
  <si>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</si>
  <si>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</si>
  <si>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</si>
  <si>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</si>
  <si>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</si>
  <si>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</si>
  <si>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</si>
  <si>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</si>
  <si>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</si>
  <si>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</si>
  <si>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</si>
  <si>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</si>
  <si>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</si>
  <si>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</si>
  <si>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</si>
  <si>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</si>
  <si>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</si>
  <si>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</si>
  <si>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</si>
  <si>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</si>
  <si>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</si>
  <si>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</si>
  <si>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</si>
  <si>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</si>
  <si>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</si>
  <si>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</si>
  <si>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</si>
  <si>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</si>
  <si>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</si>
  <si>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</si>
  <si>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</si>
  <si>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</si>
  <si>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</si>
  <si>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</si>
  <si>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</si>
  <si>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</si>
  <si>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</si>
  <si>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</si>
  <si>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</si>
  <si>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</si>
  <si>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</si>
  <si>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</si>
  <si>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</si>
  <si>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</si>
  <si>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</si>
  <si>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</si>
  <si>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</si>
  <si>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</si>
  <si>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</si>
  <si>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</si>
  <si>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</si>
  <si>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</si>
  <si>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</si>
  <si>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</si>
  <si>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</si>
  <si>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</si>
  <si>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</si>
  <si>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</si>
  <si>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</si>
  <si>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</si>
  <si>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</si>
  <si>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</si>
  <si>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</si>
  <si>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</si>
  <si>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</si>
  <si>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</si>
  <si>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</si>
  <si>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</si>
  <si>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</si>
  <si>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</si>
  <si>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</si>
  <si>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</si>
  <si>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</si>
  <si>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</si>
  <si>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</si>
  <si>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</si>
  <si>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</si>
  <si>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</si>
  <si>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</si>
  <si>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</si>
  <si>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</si>
  <si>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</si>
  <si>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</si>
  <si>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</si>
  <si>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</si>
  <si>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</si>
  <si>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</si>
  <si>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</si>
  <si>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</si>
  <si>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</si>
  <si>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</si>
  <si>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</si>
  <si>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</si>
  <si>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</si>
  <si>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</si>
  <si>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</si>
  <si>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</si>
  <si>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</si>
  <si>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</si>
  <si>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</si>
  <si>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</si>
  <si>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</si>
  <si>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</si>
  <si>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</si>
  <si>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</si>
  <si>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</si>
  <si>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</si>
  <si>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</si>
  <si>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</si>
  <si>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</si>
  <si>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</si>
  <si>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</si>
  <si>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</si>
  <si>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</si>
  <si>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</si>
  <si>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</si>
  <si>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</si>
  <si>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</si>
  <si>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</si>
  <si>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</si>
  <si>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</si>
  <si>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</si>
  <si>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</si>
  <si>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</si>
  <si>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</si>
  <si>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</si>
  <si>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</si>
  <si>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</si>
  <si>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</si>
  <si>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</si>
  <si>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</si>
  <si>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</si>
  <si>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</si>
  <si>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</si>
  <si>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</si>
  <si>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</si>
  <si>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</si>
  <si>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</si>
  <si>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</si>
  <si>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</si>
  <si>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</si>
  <si>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</si>
  <si>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</si>
  <si>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</si>
  <si>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</si>
  <si>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</si>
  <si>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</si>
  <si>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</si>
  <si>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</si>
  <si>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</si>
  <si>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</si>
  <si>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</si>
  <si>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</si>
  <si>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</si>
  <si>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</si>
  <si>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</si>
  <si>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</si>
  <si>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</si>
  <si>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</si>
  <si>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</si>
  <si>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</si>
  <si>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</si>
  <si>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</si>
  <si>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</si>
  <si>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</si>
  <si>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</si>
  <si>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</si>
  <si>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</si>
  <si>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</si>
  <si>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</si>
  <si>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</si>
  <si>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</si>
  <si>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</si>
  <si>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</si>
  <si>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</si>
  <si>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</si>
  <si>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</si>
  <si>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</si>
  <si>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</si>
  <si>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</si>
  <si>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</si>
  <si>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</si>
  <si>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</si>
  <si>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</si>
  <si>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</si>
  <si>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</si>
  <si>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</si>
  <si>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</si>
  <si>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</si>
  <si>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</si>
  <si>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</si>
  <si>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</si>
  <si>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</si>
  <si>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</si>
  <si>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</si>
  <si>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</si>
  <si>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</si>
  <si>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</si>
  <si>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</si>
  <si>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</si>
  <si>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</si>
  <si>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</si>
  <si>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</si>
  <si>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</si>
  <si>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</si>
  <si>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</si>
  <si>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</si>
  <si>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</si>
  <si>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</si>
  <si>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</si>
  <si>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</si>
  <si>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</si>
  <si>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</si>
  <si>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</si>
  <si>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</si>
  <si>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</si>
  <si>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</si>
  <si>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</si>
  <si>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</si>
  <si>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</si>
  <si>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</si>
  <si>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</si>
  <si>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</si>
  <si>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</si>
  <si>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</si>
  <si>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</si>
  <si>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</si>
  <si>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</si>
  <si>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</si>
  <si>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</si>
  <si>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</si>
  <si>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</si>
  <si>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</si>
  <si>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</si>
  <si>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</si>
  <si>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</si>
  <si>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</si>
  <si>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</si>
  <si>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</si>
  <si>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</si>
  <si>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</si>
  <si>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</si>
  <si>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</si>
  <si>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</si>
  <si>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</si>
  <si>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</si>
  <si>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</si>
  <si>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</si>
  <si>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</si>
  <si>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</si>
  <si>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</si>
  <si>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</si>
  <si>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</si>
  <si>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</si>
  <si>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</si>
  <si>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</si>
  <si>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</si>
  <si>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</si>
  <si>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</si>
  <si>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</si>
  <si>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</si>
  <si>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</si>
  <si>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</si>
  <si>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</si>
  <si>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</si>
  <si>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</si>
  <si>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</si>
  <si>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</si>
  <si>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</si>
  <si>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</si>
  <si>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</si>
  <si>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</si>
  <si>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</si>
  <si>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</si>
  <si>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</si>
  <si>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</si>
  <si>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</si>
  <si>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</si>
  <si>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</si>
  <si>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</si>
  <si>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</si>
  <si>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</si>
  <si>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</si>
  <si>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</si>
  <si>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</si>
  <si>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</si>
  <si>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</si>
  <si>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</si>
  <si>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</si>
  <si>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</si>
  <si>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</si>
  <si>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</si>
  <si>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</si>
  <si>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</si>
  <si>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</si>
  <si>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</si>
  <si>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</si>
  <si>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</si>
  <si>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</si>
  <si>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</si>
  <si>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</si>
  <si>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</si>
  <si>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</si>
  <si>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</si>
  <si>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</si>
  <si>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</si>
  <si>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</si>
  <si>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</si>
  <si>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</si>
  <si>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</si>
  <si>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</si>
  <si>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</si>
  <si>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</si>
  <si>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</si>
  <si>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</si>
  <si>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</si>
  <si>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</si>
  <si>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</si>
  <si>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</si>
  <si>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</si>
  <si>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</si>
  <si>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</si>
  <si>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</si>
  <si>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</si>
  <si>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</si>
  <si>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</si>
  <si>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</si>
  <si>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</si>
  <si>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</si>
  <si>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</si>
  <si>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</si>
  <si>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</si>
  <si>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</si>
  <si>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</si>
  <si>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</si>
  <si>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</si>
  <si>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</si>
  <si>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</si>
  <si>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</si>
  <si>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</si>
  <si>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</si>
  <si>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</si>
  <si>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</si>
  <si>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</si>
  <si>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</si>
  <si>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</si>
  <si>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</si>
  <si>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</si>
  <si>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</si>
  <si>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</si>
  <si>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</si>
  <si>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</si>
  <si>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</si>
  <si>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</si>
  <si>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</si>
  <si>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</si>
  <si>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</si>
  <si>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</si>
  <si>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</si>
  <si>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</si>
  <si>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</si>
  <si>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</si>
  <si>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</si>
  <si>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</si>
  <si>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</si>
  <si>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</si>
  <si>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</si>
  <si>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</si>
  <si>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</si>
  <si>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</si>
  <si>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</si>
  <si>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</si>
  <si>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</si>
  <si>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</si>
  <si>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</si>
  <si>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</si>
  <si>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</si>
  <si>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</si>
  <si>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</si>
  <si>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</si>
  <si>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</si>
  <si>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</si>
  <si>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</si>
  <si>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</si>
  <si>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</si>
  <si>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</si>
  <si>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</si>
  <si>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</si>
  <si>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</si>
  <si>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</si>
  <si>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</si>
  <si>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</si>
  <si>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</si>
  <si>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</si>
  <si>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</si>
  <si>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</si>
  <si>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</si>
  <si>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</si>
  <si>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</si>
  <si>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</si>
  <si>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</si>
  <si>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</si>
  <si>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</si>
  <si>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</si>
  <si>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</si>
  <si>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</si>
  <si>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</si>
  <si>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</si>
  <si>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</si>
  <si>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</si>
  <si>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</si>
  <si>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</si>
  <si>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</si>
  <si>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</si>
  <si>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</si>
  <si>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</si>
  <si>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</si>
  <si>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</si>
  <si>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</si>
  <si>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</si>
  <si>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</si>
  <si>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</si>
  <si>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</si>
  <si>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</si>
  <si>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</si>
  <si>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</si>
  <si>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</si>
  <si>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</si>
  <si>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</si>
  <si>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</si>
  <si>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</si>
  <si>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</si>
  <si>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</si>
  <si>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</si>
  <si>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</si>
  <si>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</si>
  <si>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</si>
  <si>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</si>
  <si>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</si>
  <si>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</si>
  <si>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</si>
  <si>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</si>
  <si>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</si>
  <si>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</si>
  <si>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</si>
  <si>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</si>
  <si>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</si>
  <si>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</si>
  <si>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</si>
  <si>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</si>
  <si>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</si>
  <si>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</si>
  <si>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</si>
  <si>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</si>
  <si>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</si>
  <si>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</si>
  <si>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</si>
  <si>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</si>
  <si>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</si>
  <si>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</si>
  <si>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</si>
  <si>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</si>
  <si>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</si>
  <si>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</si>
  <si>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</si>
  <si>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</si>
  <si>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</si>
  <si>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</si>
  <si>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</si>
  <si>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</si>
  <si>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</si>
  <si>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</si>
  <si>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</si>
  <si>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</si>
  <si>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</si>
  <si>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</si>
  <si>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</si>
  <si>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</si>
  <si>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</si>
  <si>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</si>
  <si>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</si>
  <si>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</si>
  <si>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</si>
  <si>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</si>
  <si>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</si>
  <si>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</si>
  <si>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</si>
  <si>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</si>
  <si>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</si>
  <si>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</si>
  <si>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</si>
  <si>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</si>
  <si>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</si>
  <si>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</si>
  <si>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</si>
  <si>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</si>
  <si>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</si>
  <si>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</si>
  <si>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</si>
  <si>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</si>
  <si>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</si>
  <si>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</si>
  <si>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</si>
  <si>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</si>
  <si>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</si>
  <si>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</si>
  <si>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</si>
  <si>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</si>
  <si>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</si>
  <si>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</si>
  <si>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</si>
  <si>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</si>
  <si>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</si>
  <si>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</si>
  <si>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</si>
  <si>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</si>
  <si>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</si>
  <si>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</si>
  <si>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</si>
  <si>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</si>
  <si>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</si>
  <si>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</si>
  <si>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</si>
  <si>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</si>
  <si>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</si>
  <si>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</si>
  <si>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</si>
  <si>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</si>
  <si>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</si>
  <si>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</si>
  <si>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</si>
  <si>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</si>
  <si>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</si>
  <si>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</si>
  <si>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</si>
  <si>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</si>
  <si>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</si>
  <si>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</si>
  <si>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</si>
  <si>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</si>
  <si>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</si>
  <si>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</si>
  <si>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</si>
  <si>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</si>
  <si>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</si>
  <si>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</si>
  <si>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</si>
  <si>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</si>
  <si>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</si>
  <si>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</si>
  <si>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</si>
  <si>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</si>
  <si>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</si>
  <si>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</si>
  <si>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</si>
  <si>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</si>
  <si>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</si>
  <si>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</si>
  <si>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</si>
  <si>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</si>
  <si>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</si>
  <si>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</si>
  <si>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</si>
  <si>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</si>
  <si>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</si>
  <si>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</si>
  <si>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</si>
  <si>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</si>
  <si>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</si>
  <si>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</si>
  <si>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</si>
  <si>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</si>
  <si>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</si>
  <si>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</si>
  <si>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</si>
  <si>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</si>
  <si>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</si>
  <si>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</si>
  <si>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</si>
  <si>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</si>
  <si>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</si>
  <si>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</si>
  <si>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</si>
  <si>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</si>
  <si>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</si>
  <si>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</si>
  <si>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</si>
  <si>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</si>
  <si>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</si>
  <si>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</si>
  <si>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</si>
  <si>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</si>
  <si>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</si>
  <si>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</si>
  <si>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</si>
  <si>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</si>
  <si>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</si>
  <si>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</si>
  <si>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</si>
  <si>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</si>
  <si>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</si>
  <si>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</si>
  <si>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</si>
  <si>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</si>
  <si>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</si>
  <si>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</si>
  <si>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</si>
  <si>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</si>
  <si>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</si>
  <si>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</si>
  <si>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</si>
  <si>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</si>
  <si>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</si>
  <si>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</si>
  <si>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</si>
  <si>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</si>
  <si>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</si>
  <si>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</si>
  <si>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</si>
  <si>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</si>
  <si>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</si>
  <si>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</si>
  <si>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</si>
  <si>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</si>
  <si>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</si>
  <si>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</si>
  <si>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</si>
  <si>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</si>
  <si>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</si>
  <si>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</si>
  <si>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</si>
  <si>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</si>
  <si>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</si>
  <si>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</si>
  <si>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</si>
  <si>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</si>
  <si>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</si>
  <si>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</si>
  <si>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</si>
  <si>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</si>
  <si>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</si>
  <si>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</si>
  <si>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</si>
  <si>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</si>
  <si>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</si>
  <si>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</si>
  <si>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</si>
  <si>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</si>
  <si>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</si>
  <si>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</si>
  <si>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</si>
  <si>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</si>
  <si>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</si>
  <si>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</si>
  <si>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</si>
  <si>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</si>
  <si>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</si>
  <si>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</si>
  <si>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</si>
  <si>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</si>
  <si>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</si>
  <si>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</si>
  <si>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</si>
  <si>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</si>
  <si>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</si>
  <si>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</si>
  <si>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</si>
  <si>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</si>
  <si>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</si>
  <si>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</si>
  <si>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</si>
  <si>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</si>
  <si>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</si>
  <si>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</si>
  <si>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</si>
  <si>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</si>
  <si>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</si>
  <si>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</si>
  <si>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</si>
  <si>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</si>
  <si>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</si>
  <si>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</si>
  <si>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</si>
  <si>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</si>
  <si>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</si>
  <si>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</si>
  <si>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</si>
  <si>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</si>
  <si>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</si>
  <si>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</si>
  <si>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</si>
  <si>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</si>
  <si>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</si>
  <si>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</si>
  <si>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</si>
  <si>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</si>
  <si>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</si>
  <si>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</si>
  <si>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</si>
  <si>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</si>
  <si>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</si>
  <si>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</si>
  <si>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</si>
  <si>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</si>
  <si>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</si>
  <si>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</si>
  <si>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</si>
  <si>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</si>
  <si>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</si>
  <si>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</si>
  <si>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</si>
  <si>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</si>
  <si>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</si>
  <si>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</si>
  <si>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</si>
  <si>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</si>
  <si>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</si>
  <si>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</si>
  <si>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</si>
  <si>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</si>
  <si>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</si>
  <si>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</si>
  <si>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</si>
  <si>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</si>
  <si>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</si>
  <si>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</si>
  <si>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</si>
  <si>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</si>
  <si>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</si>
  <si>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</si>
  <si>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</si>
  <si>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</si>
  <si>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</si>
  <si>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</si>
  <si>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</si>
  <si>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</si>
  <si>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</si>
  <si>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</si>
  <si>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</si>
  <si>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</si>
  <si>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</si>
  <si>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</si>
  <si>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</si>
  <si>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</si>
  <si>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</si>
  <si>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</si>
  <si>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</si>
  <si>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</si>
  <si>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</si>
  <si>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</si>
  <si>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</si>
  <si>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</si>
  <si>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</si>
  <si>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</si>
  <si>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</si>
  <si>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</si>
  <si>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</si>
  <si>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</si>
  <si>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</si>
  <si>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</si>
  <si>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</si>
  <si>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</si>
  <si>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</si>
  <si>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</si>
  <si>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</si>
  <si>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</si>
  <si>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</si>
  <si>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</si>
  <si>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</si>
  <si>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</si>
  <si>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</si>
  <si>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</si>
  <si>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</si>
  <si>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</si>
  <si>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</si>
  <si>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</si>
  <si>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</si>
  <si>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</si>
  <si>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</si>
  <si>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</si>
  <si>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</si>
  <si>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</si>
  <si>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</si>
  <si>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</si>
  <si>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</si>
  <si>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</si>
  <si>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</si>
  <si>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</si>
  <si>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</si>
  <si>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</si>
  <si>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</si>
  <si>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</si>
  <si>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</si>
  <si>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</si>
  <si>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</si>
  <si>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</si>
  <si>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</si>
  <si>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</si>
  <si>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</si>
  <si>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</si>
  <si>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</si>
  <si>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</si>
  <si>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</si>
  <si>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</si>
  <si>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</si>
  <si>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</si>
  <si>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</si>
  <si>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</si>
  <si>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</si>
  <si>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</si>
  <si>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</si>
  <si>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</si>
  <si>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</si>
  <si>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</si>
  <si>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</si>
  <si>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</si>
  <si>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</si>
  <si>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</si>
  <si>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</si>
  <si>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</si>
  <si>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</si>
  <si>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</si>
  <si>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</si>
  <si>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</si>
  <si>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</si>
  <si>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</si>
  <si>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</si>
  <si>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</si>
  <si>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</si>
  <si>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</si>
  <si>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</si>
  <si>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</si>
  <si>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</si>
  <si>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</si>
  <si>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</si>
  <si>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</si>
  <si>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</si>
  <si>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</si>
  <si>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</si>
  <si>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</si>
  <si>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</si>
  <si>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</si>
  <si>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</si>
  <si>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</si>
  <si>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</si>
  <si>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</si>
  <si>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</si>
  <si>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</si>
  <si>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</si>
  <si>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</si>
  <si>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</si>
  <si>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</si>
  <si>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</si>
  <si>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</si>
  <si>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</si>
  <si>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</si>
  <si>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</si>
  <si>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</si>
  <si>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</si>
  <si>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</si>
  <si>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</si>
  <si>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</si>
  <si>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</si>
  <si>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</si>
  <si>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</si>
  <si>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</si>
  <si>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</si>
  <si>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</si>
  <si>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</si>
  <si>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</si>
  <si>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</si>
  <si>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</si>
  <si>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</si>
  <si>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</si>
  <si>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</si>
  <si>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</si>
  <si>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</si>
  <si>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</si>
  <si>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</si>
  <si>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</si>
  <si>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</si>
  <si>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</si>
  <si>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</si>
  <si>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</si>
  <si>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</si>
  <si>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</si>
  <si>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</si>
  <si>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</si>
  <si>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</si>
  <si>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</si>
  <si>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</si>
  <si>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</si>
  <si>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</si>
  <si>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</si>
  <si>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</si>
  <si>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</si>
  <si>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</si>
  <si>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</si>
  <si>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</si>
  <si>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</si>
  <si>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</si>
  <si>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</si>
  <si>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</si>
  <si>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</si>
  <si>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</si>
  <si>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</si>
  <si>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</si>
  <si>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</si>
  <si>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</si>
  <si>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</si>
  <si>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</si>
  <si>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</si>
  <si>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</si>
  <si>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</si>
  <si>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</si>
  <si>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</si>
  <si>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</si>
  <si>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</si>
  <si>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</si>
  <si>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</si>
  <si>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</si>
  <si>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</si>
  <si>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</si>
  <si>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</si>
  <si>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</si>
  <si>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</si>
  <si>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</si>
  <si>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</si>
  <si>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</si>
  <si>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</si>
  <si>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</si>
  <si>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</si>
  <si>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</si>
  <si>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</si>
  <si>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</si>
  <si>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</si>
  <si>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</si>
  <si>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</si>
  <si>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</si>
  <si>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</si>
  <si>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</si>
  <si>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</si>
  <si>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</si>
  <si>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</si>
  <si>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</si>
  <si>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</si>
  <si>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</si>
  <si>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</si>
  <si>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</si>
  <si>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</si>
  <si>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</si>
  <si>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</si>
  <si>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</si>
  <si>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</si>
  <si>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</si>
  <si>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</si>
  <si>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</si>
  <si>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</si>
  <si>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</si>
  <si>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</si>
  <si>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</si>
  <si>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</si>
  <si>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</si>
  <si>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</si>
  <si>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</si>
  <si>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</si>
  <si>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</si>
  <si>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</si>
  <si>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</si>
  <si>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</si>
  <si>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</si>
  <si>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</si>
  <si>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</si>
  <si>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</si>
  <si>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</si>
  <si>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</si>
  <si>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</si>
  <si>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</si>
  <si>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</si>
  <si>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</si>
  <si>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</si>
  <si>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</si>
  <si>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</si>
  <si>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</si>
  <si>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</si>
  <si>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</si>
  <si>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</si>
  <si>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</si>
  <si>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</si>
  <si>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</si>
  <si>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</si>
  <si>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</si>
  <si>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</si>
  <si>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</si>
  <si>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</si>
  <si>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</si>
  <si>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</si>
  <si>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</si>
  <si>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</si>
  <si>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</si>
  <si>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</si>
  <si>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</si>
  <si>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</si>
  <si>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</si>
  <si>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</si>
  <si>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</si>
  <si>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</si>
  <si>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</si>
  <si>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</si>
  <si>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</si>
  <si>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</si>
  <si>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</si>
  <si>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</si>
  <si>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</si>
  <si>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</si>
  <si>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</si>
  <si>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</si>
  <si>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</si>
  <si>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</si>
  <si>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</si>
  <si>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</si>
  <si>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</si>
  <si>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</si>
  <si>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</si>
  <si>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</si>
  <si>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</si>
  <si>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</si>
  <si>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</si>
  <si>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</si>
  <si>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</si>
  <si>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</si>
  <si>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</si>
  <si>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</si>
  <si>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</si>
  <si>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</si>
  <si>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</si>
  <si>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</si>
  <si>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</si>
  <si>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</si>
  <si>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</si>
  <si>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</si>
  <si>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</si>
  <si>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</si>
  <si>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</si>
  <si>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</si>
  <si>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</si>
  <si>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</si>
  <si>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</si>
  <si>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</si>
  <si>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</si>
  <si>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</si>
  <si>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</si>
  <si>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</si>
  <si>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</si>
  <si>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</si>
  <si>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</si>
  <si>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</si>
  <si>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</si>
  <si>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</si>
  <si>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</si>
  <si>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</si>
  <si>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</si>
  <si>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</si>
  <si>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</si>
  <si>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</si>
  <si>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</si>
  <si>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</si>
  <si>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</si>
  <si>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</si>
  <si>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</si>
  <si>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</si>
  <si>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</si>
  <si>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</si>
  <si>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</si>
  <si>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</si>
  <si>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</si>
  <si>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</si>
  <si>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</si>
  <si>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</si>
  <si>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</si>
  <si>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</si>
  <si>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</si>
  <si>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</si>
  <si>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</si>
  <si>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</si>
  <si>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</si>
  <si>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</si>
  <si>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</si>
  <si>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</si>
  <si>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</si>
  <si>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</si>
  <si>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</si>
  <si>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</si>
  <si>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</si>
  <si>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</si>
  <si>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</si>
  <si>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</si>
  <si>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</si>
  <si>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</si>
  <si>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</si>
  <si>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</si>
  <si>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</si>
  <si>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</si>
  <si>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</si>
  <si>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</si>
  <si>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</si>
  <si>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</si>
  <si>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</si>
  <si>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</si>
  <si>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</si>
  <si>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</si>
  <si>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</si>
  <si>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</si>
  <si>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</si>
  <si>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</si>
  <si>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</si>
  <si>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</si>
  <si>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</si>
  <si>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</si>
  <si>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</si>
  <si>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</si>
  <si>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</si>
  <si>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</si>
  <si>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</si>
  <si>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</si>
  <si>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</si>
  <si>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</si>
  <si>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</si>
  <si>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</si>
  <si>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</si>
  <si>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</si>
  <si>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</si>
  <si>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</si>
  <si>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</si>
  <si>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</si>
  <si>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</si>
  <si>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</si>
  <si>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</si>
  <si>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</si>
  <si>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</si>
  <si>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</si>
  <si>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</si>
  <si>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</si>
  <si>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</si>
  <si>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</si>
  <si>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</si>
  <si>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</si>
  <si>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</si>
  <si>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</si>
  <si>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</si>
  <si>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</si>
  <si>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</si>
  <si>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</si>
  <si>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</si>
  <si>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</si>
  <si>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</si>
  <si>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</si>
  <si>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</si>
  <si>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</si>
  <si>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</si>
  <si>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</si>
  <si>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</si>
  <si>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</si>
  <si>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</si>
  <si>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</si>
  <si>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</si>
  <si>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</si>
  <si>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</si>
  <si>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</si>
  <si>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</si>
  <si>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</si>
  <si>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</si>
  <si>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</si>
  <si>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</si>
  <si>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</si>
  <si>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</si>
  <si>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</si>
  <si>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</si>
  <si>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</si>
  <si>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</si>
  <si>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</si>
  <si>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</si>
  <si>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</si>
  <si>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</si>
  <si>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</si>
  <si>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</si>
  <si>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</si>
  <si>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</si>
  <si>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</si>
  <si>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</si>
  <si>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</si>
  <si>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</si>
  <si>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</si>
  <si>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</si>
  <si>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</si>
  <si>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</si>
  <si>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</si>
  <si>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</si>
  <si>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</si>
  <si>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</si>
  <si>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</si>
  <si>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</si>
  <si>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</si>
  <si>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</si>
  <si>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</si>
  <si>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</si>
  <si>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</si>
  <si>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</si>
  <si>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</si>
  <si>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</si>
  <si>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</si>
  <si>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</si>
  <si>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</si>
  <si>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</si>
  <si>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</si>
  <si>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</si>
  <si>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</si>
  <si>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</si>
  <si>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</si>
  <si>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</si>
  <si>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</si>
  <si>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</si>
  <si>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</si>
  <si>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</si>
  <si>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</si>
  <si>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</si>
  <si>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</si>
  <si>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</si>
  <si>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</si>
  <si>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</si>
  <si>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</si>
  <si>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</si>
  <si>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</si>
  <si>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</si>
  <si>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</si>
  <si>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</si>
  <si>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</si>
  <si>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</si>
  <si>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</si>
  <si>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</si>
  <si>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</si>
  <si>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</si>
  <si>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</si>
  <si>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</si>
  <si>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</si>
  <si>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</si>
  <si>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</si>
  <si>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</si>
  <si>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</si>
  <si>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</si>
  <si>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</si>
  <si>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</si>
  <si>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</si>
  <si>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</si>
  <si>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</si>
  <si>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</si>
  <si>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</si>
  <si>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</si>
  <si>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</si>
  <si>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</si>
  <si>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</si>
  <si>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</si>
  <si>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</si>
  <si>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</si>
  <si>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</si>
  <si>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</si>
  <si>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</si>
  <si>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</si>
  <si>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</si>
  <si>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</si>
  <si>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</si>
  <si>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</si>
  <si>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</si>
  <si>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</si>
  <si>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</si>
  <si>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</si>
  <si>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</si>
  <si>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</si>
  <si>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</si>
  <si>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</si>
  <si>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</si>
  <si>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</si>
  <si>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</si>
  <si>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</si>
  <si>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</si>
  <si>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</si>
  <si>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</si>
  <si>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</si>
  <si>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</si>
  <si>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</si>
  <si>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</si>
  <si>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</si>
  <si>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</si>
  <si>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</si>
  <si>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</si>
  <si>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</si>
  <si>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</si>
  <si>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</si>
  <si>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</si>
  <si>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</si>
  <si>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</si>
  <si>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</si>
  <si>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</si>
  <si>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</si>
  <si>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</si>
  <si>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</si>
  <si>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</si>
  <si>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</si>
  <si>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</si>
  <si>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</si>
  <si>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</si>
  <si>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</si>
  <si>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</si>
  <si>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</si>
  <si>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</si>
  <si>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</si>
  <si>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</si>
  <si>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</si>
  <si>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</si>
  <si>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</si>
  <si>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</si>
  <si>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</si>
  <si>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</si>
  <si>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</si>
  <si>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</si>
  <si>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</si>
  <si>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</si>
  <si>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</si>
  <si>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</si>
  <si>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</si>
  <si>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</si>
  <si>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</si>
  <si>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</si>
  <si>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</si>
  <si>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</si>
  <si>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</si>
  <si>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</si>
  <si>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</si>
  <si>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</si>
  <si>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</si>
  <si>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</si>
  <si>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</si>
  <si>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</si>
  <si>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</si>
  <si>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</si>
  <si>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</si>
  <si>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</si>
  <si>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</si>
  <si>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</si>
  <si>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</si>
  <si>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</si>
  <si>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</si>
  <si>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</si>
  <si>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</si>
  <si>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</si>
  <si>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</si>
  <si>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</si>
  <si>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</si>
  <si>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</si>
  <si>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</si>
  <si>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</si>
  <si>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</si>
  <si>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</si>
  <si>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</si>
  <si>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</si>
  <si>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</si>
  <si>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</si>
  <si>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</si>
  <si>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</si>
  <si>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</si>
  <si>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</si>
  <si>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</si>
  <si>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</si>
  <si>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</si>
  <si>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</si>
  <si>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</si>
  <si>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</si>
  <si>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</si>
  <si>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</si>
  <si>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</si>
  <si>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</si>
  <si>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</si>
  <si>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</si>
  <si>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</si>
  <si>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</si>
  <si>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</si>
  <si>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</si>
  <si>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</si>
  <si>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</si>
  <si>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</si>
  <si>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</si>
  <si>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</si>
  <si>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</si>
  <si>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</si>
  <si>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</si>
  <si>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</si>
  <si>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</si>
  <si>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</si>
  <si>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</si>
  <si>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</si>
  <si>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</si>
  <si>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</si>
  <si>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</si>
  <si>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</si>
  <si>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</si>
  <si>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</si>
  <si>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</si>
  <si>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</si>
  <si>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</si>
  <si>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</si>
  <si>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</si>
  <si>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</si>
  <si>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</si>
  <si>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</si>
  <si>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</si>
  <si>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</si>
  <si>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</si>
  <si>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</si>
  <si>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</si>
  <si>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</si>
  <si>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</si>
  <si>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</si>
  <si>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</si>
  <si>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</si>
  <si>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</si>
  <si>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</si>
  <si>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</si>
  <si>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</si>
  <si>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</si>
  <si>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</si>
  <si>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</si>
  <si>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</si>
  <si>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</si>
  <si>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</si>
  <si>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</si>
  <si>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</si>
  <si>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</si>
  <si>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</si>
  <si>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</si>
  <si>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</si>
  <si>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</si>
  <si>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</si>
  <si>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</si>
  <si>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</si>
  <si>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</si>
  <si>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</si>
  <si>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</si>
  <si>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</si>
  <si>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</si>
  <si>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</si>
  <si>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</si>
  <si>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</si>
  <si>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</si>
  <si>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</si>
  <si>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</si>
  <si>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</si>
  <si>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</si>
  <si>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</si>
  <si>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</si>
  <si>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</si>
  <si>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</si>
  <si>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</si>
  <si>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</si>
  <si>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</si>
  <si>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</si>
  <si>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</si>
  <si>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</si>
  <si>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</si>
  <si>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</si>
  <si>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</si>
  <si>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</si>
  <si>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</si>
  <si>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</si>
  <si>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</si>
  <si>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</si>
  <si>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</si>
  <si>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</si>
  <si>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</si>
  <si>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</si>
  <si>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</si>
  <si>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</si>
  <si>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</si>
  <si>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</si>
  <si>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</si>
  <si>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</si>
  <si>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</si>
  <si>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</si>
  <si>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</si>
  <si>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</si>
  <si>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</si>
  <si>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</si>
  <si>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</si>
  <si>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</si>
  <si>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</si>
  <si>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</si>
  <si>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</si>
  <si>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</si>
  <si>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</si>
  <si>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</si>
  <si>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</si>
  <si>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</si>
  <si>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</si>
  <si>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</si>
  <si>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</si>
  <si>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</si>
  <si>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</si>
  <si>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</si>
  <si>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</si>
  <si>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</si>
  <si>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</si>
  <si>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</si>
  <si>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</si>
  <si>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</si>
  <si>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</si>
  <si>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</si>
  <si>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</si>
  <si>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</si>
  <si>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</si>
  <si>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</si>
  <si>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</si>
  <si>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</si>
  <si>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</si>
  <si>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</si>
  <si>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</si>
  <si>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</si>
  <si>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</si>
  <si>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</si>
  <si>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</si>
  <si>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</si>
  <si>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</si>
  <si>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</si>
  <si>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</si>
  <si>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</si>
  <si>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</si>
  <si>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</si>
  <si>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</si>
  <si>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</si>
  <si>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</si>
  <si>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</si>
  <si>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</si>
  <si>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</si>
  <si>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</si>
  <si>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</si>
  <si>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</si>
  <si>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</si>
  <si>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</si>
  <si>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</si>
  <si>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</si>
  <si>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</si>
  <si>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</si>
  <si>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</si>
  <si>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</si>
  <si>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</si>
  <si>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</si>
  <si>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</si>
  <si>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</si>
  <si>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</si>
  <si>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</si>
  <si>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</si>
  <si>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</si>
  <si>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</si>
  <si>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</si>
  <si>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</si>
  <si>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</si>
  <si>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</si>
  <si>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</si>
  <si>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</si>
  <si>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</si>
  <si>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</si>
  <si>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</si>
  <si>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</si>
  <si>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</si>
  <si>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</si>
  <si>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</si>
  <si>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</si>
  <si>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</si>
  <si>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</si>
  <si>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</si>
  <si>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</si>
  <si>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</si>
  <si>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</si>
  <si>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</si>
  <si>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</si>
  <si>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</si>
  <si>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</si>
  <si>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</si>
  <si>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</si>
  <si>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</si>
  <si>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</si>
  <si>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</si>
  <si>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</si>
  <si>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</si>
  <si>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</si>
  <si>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</si>
  <si>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</si>
  <si>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</si>
  <si>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</si>
  <si>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</si>
  <si>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</si>
  <si>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</si>
  <si>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</si>
  <si>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</si>
  <si>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</si>
  <si>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</si>
  <si>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</si>
  <si>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</si>
  <si>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</si>
  <si>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</si>
  <si>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</si>
  <si>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</si>
  <si>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</si>
  <si>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</si>
  <si>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</si>
  <si>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</si>
  <si>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</si>
  <si>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</si>
  <si>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</si>
  <si>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</si>
  <si>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</si>
  <si>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</si>
  <si>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</si>
  <si>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</si>
  <si>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</si>
  <si>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</si>
  <si>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</si>
  <si>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</si>
  <si>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</si>
  <si>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</si>
  <si>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</si>
  <si>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</si>
  <si>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</si>
  <si>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</si>
  <si>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</si>
  <si>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</si>
  <si>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</si>
  <si>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</si>
  <si>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</si>
  <si>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</si>
  <si>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</si>
  <si>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</si>
  <si>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</si>
  <si>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</si>
  <si>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</si>
  <si>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</si>
  <si>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</si>
  <si>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</si>
  <si>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</si>
  <si>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</si>
  <si>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</si>
  <si>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</si>
  <si>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</si>
  <si>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</si>
  <si>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</si>
  <si>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</si>
  <si>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</si>
  <si>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</si>
  <si>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</si>
  <si>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</si>
  <si>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</si>
  <si>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</si>
  <si>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</si>
  <si>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</si>
  <si>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</si>
  <si>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</si>
  <si>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</si>
  <si>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</si>
  <si>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</si>
  <si>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</si>
  <si>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</si>
  <si>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</si>
  <si>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</si>
  <si>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</si>
  <si>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</si>
  <si>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</si>
  <si>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</si>
  <si>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</si>
  <si>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</si>
  <si>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</si>
  <si>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</si>
  <si>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</si>
  <si>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</si>
  <si>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</si>
  <si>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</si>
  <si>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</si>
  <si>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</si>
  <si>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</si>
  <si>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</si>
  <si>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</si>
  <si>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</si>
  <si>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</si>
  <si>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</si>
  <si>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</si>
  <si>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</si>
  <si>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</si>
  <si>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</si>
  <si>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</si>
  <si>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</si>
  <si>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</si>
  <si>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</si>
  <si>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</si>
  <si>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</si>
  <si>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</si>
  <si>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</si>
  <si>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</si>
  <si>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</si>
  <si>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</si>
  <si>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</si>
  <si>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</si>
  <si>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</si>
  <si>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</si>
  <si>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</si>
  <si>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</si>
  <si>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</si>
  <si>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</si>
  <si>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</si>
  <si>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</si>
  <si>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</si>
  <si>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</si>
  <si>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</si>
  <si>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</si>
  <si>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</si>
  <si>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</si>
  <si>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</si>
  <si>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</si>
  <si>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</si>
  <si>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</si>
  <si>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</si>
  <si>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</si>
  <si>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</si>
  <si>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</si>
  <si>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</si>
  <si>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</si>
  <si>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</si>
  <si>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</si>
  <si>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</si>
  <si>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</si>
  <si>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</si>
  <si>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</si>
  <si>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</si>
  <si>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</si>
  <si>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</si>
  <si>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</si>
  <si>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</si>
  <si>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</si>
  <si>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</si>
  <si>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</si>
  <si>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</si>
  <si>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</si>
  <si>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</si>
  <si>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</si>
  <si>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</si>
  <si>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</si>
  <si>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</si>
  <si>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</si>
  <si>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</si>
  <si>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</si>
  <si>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</si>
  <si>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</si>
  <si>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</si>
  <si>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</si>
  <si>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</si>
  <si>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</si>
  <si>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</si>
  <si>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</si>
  <si>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</si>
  <si>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</si>
  <si>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</si>
  <si>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</si>
  <si>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</si>
  <si>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</si>
  <si>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</si>
  <si>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</si>
  <si>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</si>
  <si>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</si>
  <si>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</si>
  <si>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</si>
  <si>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</si>
  <si>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</si>
  <si>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</si>
  <si>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</si>
  <si>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</si>
  <si>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</si>
  <si>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</si>
  <si>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</si>
  <si>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</si>
  <si>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</si>
  <si>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</si>
  <si>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</si>
  <si>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</si>
  <si>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</si>
  <si>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</si>
  <si>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</si>
  <si>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</si>
  <si>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</si>
  <si>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</si>
  <si>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</si>
  <si>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</si>
  <si>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</si>
  <si>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</si>
  <si>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</si>
  <si>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</si>
  <si>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</si>
  <si>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</si>
  <si>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</si>
  <si>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</si>
  <si>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</si>
  <si>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</si>
  <si>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</si>
  <si>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</si>
  <si>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</si>
  <si>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</si>
  <si>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</si>
  <si>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</si>
  <si>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</si>
  <si>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</si>
  <si>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</si>
  <si>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</si>
  <si>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</si>
  <si>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</si>
  <si>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</si>
  <si>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</si>
  <si>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</si>
  <si>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</si>
  <si>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</si>
  <si>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</si>
  <si>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</si>
  <si>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</si>
  <si>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</si>
  <si>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</si>
  <si>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</si>
  <si>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</si>
  <si>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</si>
  <si>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</si>
  <si>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</si>
  <si>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</si>
  <si>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</si>
  <si>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</si>
  <si>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</si>
  <si>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</si>
  <si>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</si>
  <si>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</si>
  <si>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</si>
  <si>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</si>
  <si>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</si>
  <si>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</si>
  <si>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</si>
  <si>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</si>
  <si>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</si>
  <si>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</si>
  <si>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</si>
  <si>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</si>
  <si>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</si>
  <si>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</si>
  <si>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</si>
  <si>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</si>
  <si>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</si>
  <si>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</si>
  <si>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</si>
  <si>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</si>
  <si>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</si>
  <si>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</si>
  <si>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</si>
  <si>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</si>
  <si>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</si>
  <si>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</si>
  <si>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</si>
  <si>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</si>
  <si>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</si>
  <si>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</si>
  <si>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</si>
  <si>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</si>
  <si>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</si>
  <si>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</si>
  <si>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</si>
  <si>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</si>
  <si>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</si>
  <si>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</si>
  <si>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</si>
  <si>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</si>
  <si>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</si>
  <si>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</si>
  <si>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</si>
  <si>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</si>
  <si>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</si>
  <si>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</si>
  <si>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</si>
  <si>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</si>
  <si>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</si>
  <si>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</si>
  <si>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</si>
  <si>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</si>
  <si>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</si>
  <si>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</si>
  <si>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</si>
  <si>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</si>
  <si>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</si>
  <si>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</si>
  <si>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</si>
  <si>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</si>
  <si>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</si>
  <si>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</si>
  <si>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</si>
  <si>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</si>
  <si>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</si>
  <si>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</si>
  <si>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</si>
  <si>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</si>
  <si>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</si>
  <si>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</si>
  <si>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</si>
  <si>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</si>
  <si>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</si>
  <si>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</si>
  <si>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</si>
  <si>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</si>
  <si>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</si>
  <si>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</si>
  <si>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</si>
  <si>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</si>
  <si>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</si>
  <si>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</si>
  <si>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</si>
  <si>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</si>
  <si>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</si>
  <si>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</si>
  <si>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</si>
  <si>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</si>
  <si>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</si>
  <si>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</si>
  <si>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</si>
  <si>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</si>
  <si>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</si>
  <si>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</si>
  <si>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</si>
  <si>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</si>
  <si>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</si>
  <si>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</si>
  <si>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</si>
  <si>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</si>
  <si>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</si>
  <si>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</si>
  <si>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</si>
  <si>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</si>
  <si>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</si>
  <si>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</si>
  <si>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</si>
  <si>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</si>
  <si>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</si>
  <si>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</si>
  <si>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</si>
  <si>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</si>
  <si>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</si>
  <si>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</si>
  <si>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</si>
  <si>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</si>
  <si>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</si>
  <si>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</si>
  <si>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</si>
  <si>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</si>
  <si>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</si>
  <si>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</si>
  <si>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</si>
  <si>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</si>
  <si>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</si>
  <si>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</si>
  <si>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</si>
  <si>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</si>
  <si>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</si>
  <si>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</si>
  <si>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</si>
  <si>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</si>
  <si>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</si>
  <si>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</si>
  <si>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</si>
  <si>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</si>
  <si>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</si>
  <si>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</si>
  <si>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</si>
  <si>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</si>
  <si>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Green Dot Marketing 2025 bap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</si>
</sst>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169"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73"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12" activePane="bottomLeft" state="frozen"/>
      <selection activeCell="G20" sqref="G20"/>
      <selection pane="bottomLeft" activeCell="C23" sqref="C23"/>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997395</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0.58280428841706955</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Green Dot Marketing 2025 bap</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7" t="s">
        <v>367</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7" t="s">
        <v>367</v>
      </c>
      <c r="L49" s="1688"/>
      <c r="M49" s="1689"/>
      <c r="N49" s="1190" cm="1">
        <f t="array" ref="N49">IF($E$20="Credera US",V49,SUMPRODUCT(('Rates &amp; Drop Downs INT'!$CG$6:$CG$747=$D49)*('Rates &amp; Drop Downs INT'!$CI$6:$CI$747=$F49)*('Rates &amp; Drop Downs INT'!$CK$6:$CK$747=$K49)*('Rates &amp; Drop Downs INT'!$CM$6:$CM$747)))</f>
        <v>2</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66" t="s">
        <v>78</v>
      </c>
      <c r="AD49" s="1667"/>
      <c r="AE49" s="881" t="s">
        <v>78</v>
      </c>
      <c r="AF49" s="892" t="s">
        <v>78</v>
      </c>
      <c r="AH49" s="1725"/>
      <c r="AI49" s="172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7" t="s">
        <v>749</v>
      </c>
      <c r="L50" s="1688"/>
      <c r="M50" s="1689"/>
      <c r="N50" s="1190" cm="1">
        <f t="array" ref="N50">IF($E$20="Credera US",V50,SUMPRODUCT(('Rates &amp; Drop Downs INT'!$CG$6:$CG$747=$D50)*('Rates &amp; Drop Downs INT'!$CI$6:$CI$747=$F50)*('Rates &amp; Drop Downs INT'!$CK$6:$CK$747=$K50)*('Rates &amp; Drop Downs INT'!$CM$6:$CM$747)))</f>
        <v>2</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2</v>
      </c>
      <c r="W50" s="1203" t="str">
        <f t="shared" si="0"/>
        <v>Onshore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7" t="s">
        <v>749</v>
      </c>
      <c r="L51" s="1688"/>
      <c r="M51" s="1689"/>
      <c r="N51" s="1190" cm="1">
        <f t="array" ref="N51">IF($E$20="Credera US",V51,SUMPRODUCT(('Rates &amp; Drop Downs INT'!$CG$6:$CG$747=$D51)*('Rates &amp; Drop Downs INT'!$CI$6:$CI$747=$F51)*('Rates &amp; Drop Downs INT'!$CK$6:$CK$747=$K51)*('Rates &amp; Drop Downs INT'!$CM$6:$CM$747)))</f>
        <v>2</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2</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7" t="s">
        <v>536</v>
      </c>
      <c r="L52" s="1688"/>
      <c r="M52" s="1689"/>
      <c r="N52" s="1190" cm="1">
        <f t="array" ref="N52">IF($E$20="Credera US",V52,SUMPRODUCT(('Rates &amp; Drop Downs INT'!$CG$6:$CG$747=$D52)*('Rates &amp; Drop Downs INT'!$CI$6:$CI$747=$F52)*('Rates &amp; Drop Downs INT'!$CK$6:$CK$747=$K52)*('Rates &amp; Drop Downs INT'!$CM$6:$CM$747)))</f>
        <v>3</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0</v>
      </c>
      <c r="W52" s="1203" t="str">
        <f t="shared" si="0"/>
        <v>Onshore</v>
      </c>
      <c r="X52" s="1203"/>
      <c r="Y52" s="880">
        <v>40</v>
      </c>
      <c r="Z52" s="1187"/>
      <c r="AA52" s="1190"/>
      <c r="AB52" s="1274"/>
      <c r="AC52" s="1666" t="s">
        <v>78</v>
      </c>
      <c r="AD52" s="1667"/>
      <c r="AE52" s="881"/>
      <c r="AF52" s="892"/>
      <c r="AH52" s="1725"/>
      <c r="AI52" s="172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7" t="s">
        <v>3363</v>
      </c>
      <c r="L53" s="1688"/>
      <c r="M53" s="1689"/>
      <c r="N53" s="1190" cm="1">
        <f t="array" ref="N53">IF($E$20="Credera US",V53,SUMPRODUCT(('Rates &amp; Drop Downs INT'!$CG$6:$CG$747=$D53)*('Rates &amp; Drop Downs INT'!$CI$6:$CI$747=$F53)*('Rates &amp; Drop Downs INT'!$CK$6:$CK$747=$K53)*('Rates &amp; Drop Downs INT'!$CM$6:$CM$747)))</f>
        <v>2</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2</v>
      </c>
      <c r="W53" s="1203" t="str">
        <f t="shared" si="0"/>
        <v>Offshore</v>
      </c>
      <c r="X53" s="1203"/>
      <c r="Y53" s="880">
        <v>32</v>
      </c>
      <c r="Z53" s="1187"/>
      <c r="AA53" s="1190"/>
      <c r="AB53" s="1274"/>
      <c r="AC53" s="1666"/>
      <c r="AD53" s="1667"/>
      <c r="AE53" s="881"/>
      <c r="AF53" s="892"/>
      <c r="AH53" s="1725"/>
      <c r="AI53" s="1725"/>
      <c r="CM53" s="425"/>
    </row>
    <row r="54" spans="3:91" ht="16.05" customHeight="1" x14ac:dyDescent="0.25">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7" t="s">
        <v>534</v>
      </c>
      <c r="L54" s="1688"/>
      <c r="M54" s="1689"/>
      <c r="N54" s="1190" cm="1">
        <f t="array" ref="N54">IF($E$20="Credera US",V54,SUMPRODUCT(('Rates &amp; Drop Downs INT'!$CG$6:$CG$747=$D54)*('Rates &amp; Drop Downs INT'!$CI$6:$CI$747=$F54)*('Rates &amp; Drop Downs INT'!$CK$6:$CK$747=$K54)*('Rates &amp; Drop Downs INT'!$CM$6:$CM$747)))</f>
        <v>2</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0</v>
      </c>
      <c r="W54" s="1203" t="str">
        <f t="shared" si="0"/>
        <v>Offshore</v>
      </c>
      <c r="X54" s="1203"/>
      <c r="Y54" s="880">
        <v>40</v>
      </c>
      <c r="Z54" s="1187"/>
      <c r="AA54" s="1190"/>
      <c r="AB54" s="1274"/>
      <c r="AC54" s="1666"/>
      <c r="AD54" s="1667"/>
      <c r="AE54" s="881"/>
      <c r="AF54" s="892"/>
      <c r="AH54" s="1725"/>
      <c r="AI54" s="172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7" t="s">
        <v>444</v>
      </c>
      <c r="L55" s="1688"/>
      <c r="M55" s="1689"/>
      <c r="N55" s="1190" cm="1">
        <f t="array" ref="N55">IF($E$20="Credera US",V55,SUMPRODUCT(('Rates &amp; Drop Downs INT'!$CG$6:$CG$747=$D55)*('Rates &amp; Drop Downs INT'!$CI$6:$CI$747=$F55)*('Rates &amp; Drop Downs INT'!$CK$6:$CK$747=$K55)*('Rates &amp; Drop Downs INT'!$CM$6:$CM$747)))</f>
        <v>5</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f>IFERROR(IF(ISBLANK(K55)," ",_xlfn.XLOOKUP(K55,'Rates &amp; Drop Downs INT'!C:C,'Rates &amp; Drop Downs INT'!J:J)),N55)</f>
        <v>0</v>
      </c>
      <c r="W55" s="1203" t="str">
        <f t="shared" si="0"/>
        <v>Offshore</v>
      </c>
      <c r="X55" s="1203"/>
      <c r="Y55" s="880">
        <v>20</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0.56022271714922045</v>
      </c>
      <c r="E288" s="520"/>
      <c r="F288" s="521"/>
      <c r="G288" s="1211"/>
      <c r="H288" s="1211"/>
      <c r="J288" s="1211"/>
    </row>
    <row r="289" spans="2:16" ht="25.95" customHeight="1" x14ac:dyDescent="0.25">
      <c r="B289" s="555"/>
      <c r="C289" s="907" t="s">
        <v>2197</v>
      </c>
      <c r="D289" s="908">
        <f>SUM(D291:D390)</f>
        <v>898000</v>
      </c>
      <c r="E289" s="908"/>
      <c r="F289" s="908">
        <f>SUM(F291:F390)</f>
        <v>394920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BF21" zoomScale="80" zoomScaleNormal="80" workbookViewId="0">
      <selection activeCell="BT34" sqref="BT34"/>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 bap</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8.2" thickBot="1" x14ac:dyDescent="0.35">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8.2" thickBot="1" x14ac:dyDescent="0.35">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4" thickBot="1" x14ac:dyDescent="0.35">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898000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1257200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28320</v>
      </c>
      <c r="O39" s="1753">
        <f>SUM(O38:Q38)</f>
        <v>84960</v>
      </c>
      <c r="P39" s="1754"/>
      <c r="Q39" s="1755"/>
      <c r="R39" s="1756">
        <f>SUM(R38:S38)</f>
        <v>61040</v>
      </c>
      <c r="S39" s="1757"/>
      <c r="T39" s="1753">
        <f>SUM(T38:U38)</f>
        <v>61040</v>
      </c>
      <c r="U39" s="1755"/>
      <c r="V39" s="1756">
        <f>SUM(V38:AS38)</f>
        <v>662640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1077600</v>
      </c>
      <c r="BR39" s="141"/>
      <c r="BS39" s="284" t="s">
        <v>2031</v>
      </c>
      <c r="BT39" s="285">
        <f>BP37-BP36</f>
        <v>898000</v>
      </c>
      <c r="BU39" s="286">
        <f>(BT39-BQ34)/BT39</f>
        <v>1</v>
      </c>
      <c r="BV39" s="285">
        <f>BT39/BU34</f>
        <v>106.39810426540285</v>
      </c>
    </row>
    <row r="40" spans="1:94" s="140" customFormat="1" ht="14.4" thickBot="1" x14ac:dyDescent="0.3">
      <c r="A40" s="141"/>
      <c r="B40" s="262"/>
      <c r="C40" s="262"/>
      <c r="D40" s="262"/>
      <c r="E40" s="262"/>
      <c r="F40" s="262"/>
      <c r="J40" s="287" t="s">
        <v>2032</v>
      </c>
      <c r="K40" s="147"/>
      <c r="N40" s="1766">
        <f>SUM(N38:Q38)</f>
        <v>113280</v>
      </c>
      <c r="O40" s="1767"/>
      <c r="P40" s="1767"/>
      <c r="Q40" s="1767"/>
      <c r="R40" s="1768">
        <f>SUM(R38:U38)</f>
        <v>122080</v>
      </c>
      <c r="S40" s="1769"/>
      <c r="T40" s="1769"/>
      <c r="U40" s="1769"/>
      <c r="V40" s="1766">
        <f>SUM(V38:BE38)</f>
        <v>662640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1167400</v>
      </c>
      <c r="BR40" s="141"/>
      <c r="BS40" s="289" t="s">
        <v>2034</v>
      </c>
      <c r="BT40" s="290">
        <f>BT34-BT36</f>
        <v>898000</v>
      </c>
      <c r="BU40" s="291">
        <f>(BT40-BQ34)/BT40</f>
        <v>1</v>
      </c>
      <c r="BV40" s="290">
        <f>BT40/BU34</f>
        <v>106.39810426540285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898000</v>
      </c>
      <c r="BQ42" s="294" t="s">
        <v>2039</v>
      </c>
      <c r="BR42" s="141"/>
    </row>
    <row r="43" spans="1:94" x14ac:dyDescent="0.25">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4" thickBot="1" x14ac:dyDescent="0.3">
      <c r="J44" s="273" t="s">
        <v>2029</v>
      </c>
      <c r="N44" s="282">
        <f>SUM(N43)</f>
        <v>33984</v>
      </c>
      <c r="O44" s="1753">
        <f>SUM(O43:Q43)</f>
        <v>101952</v>
      </c>
      <c r="P44" s="1754"/>
      <c r="Q44" s="1755"/>
      <c r="R44" s="1756">
        <f>SUM(R43:S43)</f>
        <v>73248</v>
      </c>
      <c r="S44" s="1757"/>
      <c r="T44" s="1753">
        <f>SUM(T43:U43)</f>
        <v>73248</v>
      </c>
      <c r="U44" s="1755"/>
      <c r="V44" s="1756">
        <f>SUM(V43:AS43)</f>
        <v>795168</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1077600</v>
      </c>
      <c r="BU44" s="286">
        <f>(BT44-BQ34)/BT44</f>
        <v>1</v>
      </c>
      <c r="BV44" s="285">
        <f>BT44/BU34</f>
        <v>127.67772511848341</v>
      </c>
    </row>
    <row r="45" spans="1:94" ht="14.4" thickBot="1" x14ac:dyDescent="0.3">
      <c r="J45" s="287" t="s">
        <v>2032</v>
      </c>
      <c r="N45" s="1744">
        <f>SUM(N43:Q43)</f>
        <v>135936</v>
      </c>
      <c r="O45" s="1745"/>
      <c r="P45" s="1745"/>
      <c r="Q45" s="1746"/>
      <c r="R45" s="1759">
        <f t="shared" ref="R45" si="56">SUM(R43:U43)</f>
        <v>146496</v>
      </c>
      <c r="S45" s="1760"/>
      <c r="T45" s="1760"/>
      <c r="U45" s="1761"/>
      <c r="V45" s="1744">
        <f t="shared" ref="V45" si="57">SUM(V43:BE43)</f>
        <v>795168</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1077600</v>
      </c>
      <c r="BU45" s="291">
        <f>(BT45-BQ34)/BT45</f>
        <v>1</v>
      </c>
      <c r="BV45" s="290">
        <f>BT45/BU34</f>
        <v>127.67772511848341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36816</v>
      </c>
      <c r="O49" s="1753">
        <f>SUM(O48:Q48)</f>
        <v>110448</v>
      </c>
      <c r="P49" s="1754"/>
      <c r="Q49" s="1755"/>
      <c r="R49" s="1756">
        <f>SUM(R48:S48)</f>
        <v>79352</v>
      </c>
      <c r="S49" s="1757"/>
      <c r="T49" s="1753">
        <f>SUM(T48:U48)</f>
        <v>79352</v>
      </c>
      <c r="U49" s="1755"/>
      <c r="V49" s="1756">
        <f>SUM(V48:AS48)</f>
        <v>861432</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4" thickBot="1" x14ac:dyDescent="0.3">
      <c r="J50" s="287" t="s">
        <v>2032</v>
      </c>
      <c r="N50" s="1744">
        <f>SUM(N48:Q48)</f>
        <v>147264</v>
      </c>
      <c r="O50" s="1745"/>
      <c r="P50" s="1745"/>
      <c r="Q50" s="1746"/>
      <c r="R50" s="1759">
        <f>SUM(R48:U48)</f>
        <v>158704</v>
      </c>
      <c r="S50" s="1760"/>
      <c r="T50" s="1760"/>
      <c r="U50" s="1761"/>
      <c r="V50" s="1744">
        <f t="shared" ref="V50" si="62">SUM(V48:BE48)</f>
        <v>861432</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4" thickBot="1" x14ac:dyDescent="0.3">
      <c r="BN51" s="1749" t="s">
        <v>2047</v>
      </c>
      <c r="BO51" s="1750"/>
      <c r="BP51" s="863">
        <f>'4. Summary &amp; Totals'!C36</f>
        <v>997395</v>
      </c>
    </row>
    <row r="52" spans="1:68" x14ac:dyDescent="0.25">
      <c r="J52" s="304" t="s">
        <v>2048</v>
      </c>
      <c r="K52" s="305">
        <f>+BP34/BO34/8</f>
        <v>106.39810426540285</v>
      </c>
    </row>
    <row r="53" spans="1:68" x14ac:dyDescent="0.25">
      <c r="J53" s="306" t="s">
        <v>2049</v>
      </c>
      <c r="K53" s="307">
        <f>+BP39/BO34/8</f>
        <v>127.67772511848341</v>
      </c>
    </row>
    <row r="54" spans="1:68" ht="14.4" thickBot="1" x14ac:dyDescent="0.3">
      <c r="J54" s="308" t="s">
        <v>2050</v>
      </c>
      <c r="K54" s="309">
        <f>+BP40/BO34/8</f>
        <v>138.3175355450237</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898000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898000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25">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898000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 bap</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997395</v>
      </c>
      <c r="D36" s="413"/>
      <c r="E36" s="594"/>
      <c r="F36" s="594"/>
      <c r="G36" s="413"/>
      <c r="S36" s="581"/>
      <c r="T36" s="596"/>
    </row>
    <row r="37" spans="2:20" x14ac:dyDescent="0.25">
      <c r="B37" s="963" t="s">
        <v>3227</v>
      </c>
      <c r="C37" s="1408">
        <f>C53</f>
        <v>0.58280428841706955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997395</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0.58280428841706955</v>
      </c>
      <c r="E53" s="413"/>
      <c r="J53" s="495"/>
      <c r="K53" s="601"/>
      <c r="L53" s="496"/>
    </row>
    <row r="54" spans="2:20" x14ac:dyDescent="0.25">
      <c r="B54" s="867" t="s">
        <v>111</v>
      </c>
      <c r="C54" s="1413">
        <f>IFERROR('2. Roles &amp; Pricing'!$D$289/'2. Roles &amp; Pricing'!M289,"")</f>
        <v>106.39810426540285</v>
      </c>
      <c r="E54" s="413"/>
      <c r="J54" s="495"/>
      <c r="K54" s="601"/>
      <c r="L54" s="496"/>
    </row>
    <row r="55" spans="2:20" x14ac:dyDescent="0.25">
      <c r="B55" s="1239" t="s">
        <v>2093</v>
      </c>
      <c r="C55" s="1414">
        <f>IFERROR(($C$71+$C$67*(1+C56)),"Enter Contingency % on Summary Inputs")</f>
        <v>949900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949900</v>
      </c>
      <c r="E60" s="484"/>
      <c r="J60" s="495"/>
      <c r="K60" s="601"/>
      <c r="L60" s="496"/>
      <c r="T60" s="605"/>
    </row>
    <row r="61" spans="2:20" x14ac:dyDescent="0.25">
      <c r="B61" s="1238" t="s">
        <v>2081</v>
      </c>
      <c r="C61" s="1540">
        <f>IFERROR(C60*(1+C56),"Incomplete Project Information")</f>
        <v>997395</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898000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44900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951400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394920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396920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106.39810426540285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Green Dot Marketing 2025 bap</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45916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997395</v>
      </c>
      <c r="D26" s="1975"/>
      <c r="E26" s="1975"/>
      <c r="F26" s="1975"/>
      <c r="G26" s="1975"/>
      <c r="H26" s="1976"/>
      <c r="I26" s="1601"/>
      <c r="J26" s="1987"/>
      <c r="K26" s="1987"/>
      <c r="L26" s="1988"/>
    </row>
    <row r="27" spans="2:19" ht="19.95" customHeight="1" x14ac:dyDescent="0.25">
      <c r="B27" s="999" t="s">
        <v>1673</v>
      </c>
      <c r="C27" s="1977">
        <f>'4. Summary &amp; Totals'!C37</f>
        <v>0.58280428841706955</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106.39810426540285</v>
      </c>
      <c r="D30" s="1886"/>
      <c r="E30" s="1886"/>
      <c r="F30" s="1887"/>
      <c r="G30" s="1881">
        <f>'2. Roles &amp; Pricing'!F289/'2. Roles &amp; Pricing'!M289</f>
        <v>46.791469194312796</v>
      </c>
      <c r="H30" s="1882"/>
      <c r="I30" s="1599" t="str">
        <f>IF(OR(C30="",E30=""),"MISSING INFO","")</f>
        <v>MISSING INFO</v>
      </c>
      <c r="J30" s="1966"/>
      <c r="K30" s="1966"/>
      <c r="L30" s="1967"/>
    </row>
    <row r="31" spans="2:19" ht="19.95" customHeight="1" x14ac:dyDescent="0.25">
      <c r="B31" s="999" t="s">
        <v>1898</v>
      </c>
      <c r="C31" s="1885">
        <f>'4. Summary &amp; Totals'!C86</f>
        <v>171.66666666666666</v>
      </c>
      <c r="D31" s="1886"/>
      <c r="E31" s="1886"/>
      <c r="F31" s="1887"/>
      <c r="G31" s="1881">
        <f>SUMIFS('2. Roles &amp; Pricing'!$F$291:$F$390,'2. Roles &amp; Pricing'!$W$48:$W$147,"Onshore")/SUMIFS('2. Roles &amp; Pricing'!$M$291:$M$390,'2. Roles &amp; Pricing'!$W$48:$W$147,"Onshore")</f>
        <v>81.666666666666671</v>
      </c>
      <c r="H31" s="1882"/>
      <c r="I31" s="1599" t="str">
        <f>IF(OR(C31="",E31=""),"MISSING INFO","")</f>
        <v>MISSING INFO</v>
      </c>
      <c r="J31" s="1966"/>
      <c r="K31" s="1966"/>
      <c r="L31" s="1967"/>
    </row>
    <row r="32" spans="2:19" ht="19.95" customHeight="1" x14ac:dyDescent="0.25">
      <c r="B32" s="1000" t="s">
        <v>1899</v>
      </c>
      <c r="C32" s="1888">
        <f>'4. Summary &amp; Totals'!C85</f>
        <v>57.851239669421489</v>
      </c>
      <c r="D32" s="1889"/>
      <c r="E32" s="1889"/>
      <c r="F32" s="1890"/>
      <c r="G32" s="1883">
        <f>IFERROR(SUMIFS('2. Roles &amp; Pricing'!$F$291:$F$390,'2. Roles &amp; Pricing'!$W$48:$W$147,"Offshore")/SUMIFS('2. Roles &amp; Pricing'!$M$291:$M$390,'2. Roles &amp; Pricing'!$W$48:$W$147,"Offshore"),"")</f>
        <v>20.851239669421489</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8</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Green Dot Marketing 2025 bap</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5"/>
      <c r="B1" s="2055"/>
      <c r="C1" s="2055"/>
      <c r="D1" s="134"/>
      <c r="E1" s="134"/>
      <c r="F1" s="134"/>
      <c r="G1" s="134"/>
    </row>
    <row r="2" spans="1:9" ht="14.25" customHeight="1" x14ac:dyDescent="0.25">
      <c r="A2" s="2055"/>
      <c r="B2" s="2055"/>
      <c r="C2" s="2055"/>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3" t="s">
        <v>28</v>
      </c>
      <c r="C10" s="2059"/>
      <c r="D10" s="2059"/>
      <c r="E10" s="2054"/>
      <c r="F10" s="103"/>
      <c r="H10" s="2056"/>
      <c r="I10" s="2056"/>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3" t="s">
        <v>1276</v>
      </c>
      <c r="C22" s="2054"/>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3" t="s">
        <v>1278</v>
      </c>
      <c r="C30" s="2054"/>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7" t="s">
        <v>1282</v>
      </c>
      <c r="C39" s="2058"/>
      <c r="D39" s="2058"/>
      <c r="E39" s="2058"/>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3" t="s">
        <v>1284</v>
      </c>
      <c r="C48" s="2054"/>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3" t="s">
        <v>1287</v>
      </c>
      <c r="C56" s="2054"/>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0" t="s">
        <v>1290</v>
      </c>
      <c r="C64" s="2051"/>
      <c r="D64" s="2052"/>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2025-08-26T08:07:47Z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