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1CACA6B6-B1D5-4C5F-8BC1-AA4FC171F56D}"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8" l="1"/>
  <c r="H23" i="28"/>
  <c r="H24" i="28"/>
  <c r="H25" i="28"/>
  <c r="H26" i="28"/>
  <c r="H27" i="28"/>
  <c r="H28" i="28"/>
  <c r="H29" i="28"/>
  <c r="H30" i="28"/>
  <c r="H31" i="28"/>
  <c r="H32" i="28"/>
  <c r="H33" i="28"/>
  <c r="H17" i="28"/>
  <c r="H18" i="28"/>
  <c r="H19" i="28"/>
  <c r="H20" i="28"/>
  <c r="H21" i="28"/>
  <c r="H16" i="28"/>
  <c r="H3" i="28"/>
  <c r="H5" i="28"/>
  <c r="BT36" i="28" s="1"/>
  <c r="BQ17" i="28"/>
  <c r="BQ18" i="28"/>
  <c r="BQ19" i="28"/>
  <c r="BQ20" i="28"/>
  <c r="BQ21" i="28"/>
  <c r="BQ24" i="28"/>
  <c r="BQ25" i="28"/>
  <c r="BQ26" i="28"/>
  <c r="BQ27" i="28"/>
  <c r="BQ28" i="28"/>
  <c r="BQ29" i="28"/>
  <c r="BQ30" i="28"/>
  <c r="BQ31" i="28"/>
  <c r="BQ32" i="28"/>
  <c r="BQ33" i="28"/>
  <c r="BQ34" i="28"/>
  <c r="BQ16" i="28"/>
  <c r="BS17" i="28"/>
  <c r="BS18" i="28"/>
  <c r="BS19" i="28"/>
  <c r="BS20" i="28"/>
  <c r="BS21" i="28"/>
  <c r="BS24" i="28"/>
  <c r="BS25" i="28"/>
  <c r="BS26" i="28"/>
  <c r="BS27" i="28"/>
  <c r="BS28" i="28"/>
  <c r="BS29" i="28"/>
  <c r="BS30" i="28"/>
  <c r="BS31" i="28"/>
  <c r="BS32" i="28"/>
  <c r="BS33" i="28"/>
  <c r="BS16" i="28"/>
  <c r="H7" i="28"/>
  <c r="O49" i="13" a="1"/>
  <c r="O49" i="13" s="1"/>
  <c r="O50" i="13" a="1"/>
  <c r="O50" i="13"/>
  <c r="O51" i="13" a="1"/>
  <c r="O51" i="13" s="1"/>
  <c r="O52" i="13" a="1"/>
  <c r="O52" i="13"/>
  <c r="O53" i="13" a="1"/>
  <c r="O53" i="13" s="1"/>
  <c r="O54" i="13" a="1"/>
  <c r="O54" i="13" s="1"/>
  <c r="O55" i="13" a="1"/>
  <c r="O55" i="13" s="1"/>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BS22" i="28" s="1"/>
  <c r="I298" i="13" a="1"/>
  <c r="I298" i="13" s="1"/>
  <c r="BS23" i="28"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BQ22" i="28" s="1"/>
  <c r="N379" i="13"/>
  <c r="O379" i="13"/>
  <c r="AB136" i="13"/>
  <c r="O357" i="13"/>
  <c r="N357" i="13"/>
  <c r="AB114" i="13"/>
  <c r="N374" i="13"/>
  <c r="O374" i="13"/>
  <c r="AB131" i="13"/>
  <c r="N332" i="13"/>
  <c r="M332" i="13"/>
  <c r="F332" i="13" s="1" a="1"/>
  <c r="F332" i="13" s="1"/>
  <c r="F298" i="13" l="1" a="1"/>
  <c r="F298" i="13" s="1"/>
  <c r="BQ23" i="28" s="1"/>
  <c r="C114" i="10"/>
  <c r="F291" i="13"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<sst xmlns="http://schemas.openxmlformats.org/spreadsheetml/2006/main" count="22831" uniqueCount="3694">
  <si>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</si>
  <si>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</si>
  <si>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</si>
  <si>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</si>
  <si>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</si>
  <si>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</si>
  <si>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</si>
  <si>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</si>
  <si>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</si>
  <si>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</si>
  <si>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</si>
  <si>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</si>
  <si>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</si>
  <si>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</si>
  <si>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</si>
  <si>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</si>
  <si>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</si>
  <si>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</si>
  <si>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</si>
  <si>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</si>
  <si>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</si>
  <si>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</si>
  <si>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</si>
  <si>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</si>
  <si>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</si>
  <si>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</si>
  <si>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</si>
  <si>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</si>
  <si>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</si>
  <si>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</si>
  <si>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</si>
  <si>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</si>
  <si>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</si>
  <si>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</si>
  <si>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</si>
  <si>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</si>
  <si>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</si>
  <si>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</si>
  <si>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</si>
  <si>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</si>
  <si>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</si>
  <si>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</si>
  <si>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</si>
  <si>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</si>
  <si>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</si>
  <si>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</si>
  <si>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</si>
  <si>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</si>
  <si>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</si>
  <si>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</si>
  <si>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</si>
  <si>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</si>
  <si>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</si>
  <si>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</si>
  <si>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</si>
  <si>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</si>
  <si>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</si>
  <si>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</si>
  <si>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</si>
  <si>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</si>
  <si>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</si>
  <si>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</si>
  <si>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</si>
  <si>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</si>
  <si>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</si>
  <si>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</si>
  <si>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</si>
  <si>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</si>
  <si>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</si>
  <si>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</si>
  <si>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</si>
  <si>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</si>
  <si>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</si>
  <si>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</si>
  <si>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</si>
  <si>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</si>
  <si>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</si>
  <si>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</si>
  <si>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</si>
  <si>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</si>
  <si>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</si>
  <si>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</si>
  <si>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</si>
  <si>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</si>
  <si>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</si>
  <si>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</si>
  <si>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</si>
  <si>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</si>
  <si>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</si>
  <si>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</si>
  <si>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</si>
  <si>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</si>
  <si>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</si>
  <si>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</si>
  <si>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</si>
  <si>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</si>
  <si>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</si>
  <si>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</si>
  <si>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</si>
  <si>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</si>
  <si>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</si>
  <si>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</si>
  <si>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</si>
  <si>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</si>
  <si>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</si>
  <si>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</si>
  <si>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</si>
  <si>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</si>
  <si>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</si>
  <si>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</si>
  <si>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</si>
  <si>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</si>
  <si>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</si>
  <si>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</si>
  <si>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</si>
  <si>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</si>
  <si>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</si>
  <si>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</si>
  <si>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</si>
  <si>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</si>
  <si>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</si>
  <si>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</si>
  <si>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</si>
  <si>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</si>
  <si>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</si>
  <si>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</si>
  <si>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</si>
  <si>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</si>
  <si>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</si>
  <si>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</si>
  <si>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</si>
  <si>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</si>
  <si>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</si>
  <si>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</si>
  <si>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</si>
  <si>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</si>
  <si>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</si>
  <si>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</si>
  <si>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</si>
  <si>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</si>
  <si>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</si>
  <si>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</si>
  <si>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</si>
  <si>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</si>
  <si>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</si>
  <si>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</si>
  <si>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</si>
  <si>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</si>
  <si>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</si>
  <si>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</si>
  <si>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</si>
  <si>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</si>
  <si>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</si>
  <si>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</si>
  <si>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</si>
  <si>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</si>
  <si>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</si>
  <si>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</si>
  <si>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</si>
  <si>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</si>
  <si>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</si>
  <si>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</si>
  <si>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</si>
  <si>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</si>
  <si>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</si>
  <si>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</si>
  <si>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</si>
  <si>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</si>
  <si>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</si>
  <si>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</si>
  <si>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</si>
  <si>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</si>
  <si>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</si>
  <si>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</si>
  <si>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</si>
  <si>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</si>
  <si>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</si>
  <si>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</si>
  <si>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</si>
  <si>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</si>
  <si>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</si>
  <si>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</si>
  <si>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</si>
  <si>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</si>
  <si>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</si>
  <si>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</si>
  <si>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</si>
  <si>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</si>
  <si>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</si>
  <si>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</si>
  <si>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</si>
  <si>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</si>
  <si>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</si>
  <si>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</si>
  <si>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</si>
  <si>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</si>
  <si>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</si>
  <si>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</si>
  <si>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</si>
  <si>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</si>
  <si>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</si>
  <si>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</si>
  <si>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</si>
  <si>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</si>
  <si>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</si>
  <si>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</si>
  <si>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</si>
  <si>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</si>
  <si>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</si>
  <si>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</si>
  <si>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</si>
  <si>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</si>
  <si>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</si>
  <si>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</si>
  <si>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</si>
  <si>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</si>
  <si>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</si>
  <si>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</si>
  <si>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</si>
  <si>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</si>
  <si>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</si>
  <si>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</si>
  <si>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</si>
  <si>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</si>
  <si>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</si>
  <si>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</si>
  <si>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</si>
  <si>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</si>
  <si>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</si>
  <si>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</si>
  <si>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</si>
  <si>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</si>
  <si>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</si>
  <si>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</si>
  <si>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</si>
  <si>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</si>
  <si>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</si>
  <si>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</si>
  <si>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</si>
  <si>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</si>
  <si>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</si>
  <si>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</si>
  <si>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</si>
  <si>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</si>
  <si>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</si>
  <si>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</si>
  <si>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</si>
  <si>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</si>
  <si>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</si>
  <si>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</si>
  <si>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</si>
  <si>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</si>
  <si>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</si>
  <si>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</si>
  <si>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</si>
  <si>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</si>
  <si>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</si>
  <si>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</si>
  <si>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</si>
  <si>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</si>
  <si>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</si>
  <si>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</si>
  <si>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</si>
  <si>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</si>
  <si>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</si>
  <si>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</si>
  <si>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</si>
  <si>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</si>
  <si>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</si>
  <si>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</si>
  <si>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</si>
  <si>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</si>
  <si>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</si>
  <si>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</si>
  <si>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</si>
  <si>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</si>
  <si>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</si>
  <si>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</si>
  <si>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</si>
  <si>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</si>
  <si>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</si>
  <si>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</si>
  <si>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</si>
  <si>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</si>
  <si>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</si>
  <si>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</si>
  <si>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</si>
  <si>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</si>
  <si>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</si>
  <si>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</si>
  <si>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</si>
  <si>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</si>
  <si>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</si>
  <si>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</si>
  <si>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</si>
  <si>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</si>
  <si>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</si>
  <si>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</si>
  <si>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</si>
  <si>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</si>
  <si>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</si>
  <si>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</si>
  <si>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</si>
  <si>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</si>
  <si>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</si>
  <si>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</si>
  <si>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</si>
  <si>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</si>
  <si>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</si>
  <si>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</si>
  <si>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</si>
  <si>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</si>
  <si>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</si>
  <si>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</si>
  <si>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</si>
  <si>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</si>
  <si>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</si>
  <si>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</si>
  <si>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</si>
  <si>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</si>
  <si>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</si>
  <si>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</si>
  <si>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</si>
  <si>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</si>
  <si>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</si>
  <si>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</si>
  <si>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</si>
  <si>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</si>
  <si>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</si>
  <si>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</si>
  <si>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</si>
  <si>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</si>
  <si>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</si>
  <si>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</si>
  <si>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</si>
  <si>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</si>
  <si>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</si>
  <si>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</si>
  <si>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</si>
  <si>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</si>
  <si>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</si>
  <si>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</si>
  <si>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</si>
  <si>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</si>
  <si>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</si>
  <si>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</si>
  <si>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</si>
  <si>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</si>
  <si>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</si>
  <si>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</si>
  <si>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</si>
  <si>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</si>
  <si>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</si>
  <si>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</si>
  <si>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</si>
  <si>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</si>
  <si>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</si>
  <si>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</si>
  <si>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</si>
  <si>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</si>
  <si>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</si>
  <si>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</si>
  <si>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</si>
  <si>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</si>
  <si>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</si>
  <si>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</si>
  <si>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</si>
  <si>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</si>
  <si>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</si>
  <si>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</si>
  <si>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</si>
  <si>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</si>
  <si>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</si>
  <si>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</si>
  <si>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</si>
  <si>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</si>
  <si>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</si>
  <si>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</si>
  <si>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</si>
  <si>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</si>
  <si>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</si>
  <si>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</si>
  <si>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</si>
  <si>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</si>
  <si>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</si>
  <si>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</si>
  <si>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</si>
  <si>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</si>
  <si>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</si>
  <si>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</si>
  <si>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</si>
  <si>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</si>
  <si>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</si>
  <si>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</si>
  <si>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</si>
  <si>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</si>
  <si>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</si>
  <si>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</si>
  <si>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</si>
  <si>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</si>
  <si>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</si>
  <si>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</si>
  <si>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</si>
  <si>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</si>
  <si>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</si>
  <si>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</si>
  <si>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</si>
  <si>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</si>
  <si>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</si>
  <si>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</si>
  <si>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</si>
  <si>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</si>
  <si>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</si>
  <si>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</si>
  <si>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</si>
  <si>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</si>
  <si>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</si>
  <si>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</si>
  <si>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</si>
  <si>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</si>
  <si>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</si>
  <si>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</si>
  <si>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</si>
  <si>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</si>
  <si>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</si>
  <si>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</si>
  <si>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</si>
  <si>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</si>
  <si>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</si>
  <si>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</si>
  <si>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</si>
  <si>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</si>
  <si>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</si>
  <si>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</si>
  <si>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</si>
  <si>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</si>
  <si>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</si>
  <si>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</si>
  <si>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</si>
  <si>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</si>
  <si>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</si>
  <si>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</si>
  <si>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</si>
  <si>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</si>
  <si>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</si>
  <si>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</si>
  <si>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</si>
  <si>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</si>
  <si>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</si>
  <si>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</si>
  <si>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</si>
  <si>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</si>
  <si>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</si>
  <si>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</si>
  <si>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</si>
  <si>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</si>
  <si>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</si>
  <si>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</si>
  <si>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</si>
  <si>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</si>
  <si>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</si>
  <si>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</si>
  <si>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</si>
  <si>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</si>
  <si>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</si>
  <si>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</si>
  <si>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</si>
  <si>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</si>
  <si>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</si>
  <si>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</si>
  <si>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</si>
  <si>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</si>
  <si>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</si>
  <si>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</si>
  <si>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</si>
  <si>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</si>
  <si>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</si>
  <si>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</si>
  <si>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</si>
  <si>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</si>
  <si>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</si>
  <si>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</si>
  <si>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</si>
  <si>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</si>
  <si>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</si>
  <si>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</si>
  <si>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</si>
  <si>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</si>
  <si>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</si>
  <si>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</si>
  <si>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</si>
  <si>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</si>
  <si>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</si>
  <si>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</si>
  <si>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</si>
  <si>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</si>
  <si>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</si>
  <si>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</si>
  <si>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</si>
  <si>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</si>
  <si>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</si>
  <si>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</si>
  <si>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</si>
  <si>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</si>
  <si>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</si>
  <si>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</si>
  <si>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</si>
  <si>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</si>
  <si>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</si>
  <si>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</si>
  <si>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</si>
  <si>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</si>
  <si>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</si>
  <si>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</si>
  <si>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</si>
  <si>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</si>
  <si>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</si>
  <si>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</si>
  <si>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</si>
  <si>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</si>
  <si>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</si>
  <si>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</si>
  <si>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</si>
  <si>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</si>
  <si>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</si>
  <si>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</si>
  <si>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</si>
  <si>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</si>
  <si>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</si>
  <si>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</si>
  <si>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</si>
  <si>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</si>
  <si>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</si>
  <si>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</si>
  <si>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</si>
  <si>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</si>
  <si>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</si>
  <si>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</si>
  <si>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</si>
  <si>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</si>
  <si>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</si>
  <si>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</si>
  <si>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</si>
  <si>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</si>
  <si>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</si>
  <si>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</si>
  <si>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</si>
  <si>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</si>
  <si>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</si>
  <si>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</si>
  <si>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</si>
  <si>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</si>
  <si>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</si>
  <si>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</si>
  <si>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</si>
  <si>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</si>
  <si>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</si>
  <si>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</si>
  <si>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</si>
  <si>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</si>
  <si>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</si>
  <si>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</si>
  <si>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</si>
  <si>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</si>
  <si>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</si>
  <si>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</si>
  <si>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</si>
  <si>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</si>
  <si>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</si>
  <si>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</si>
  <si>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</si>
  <si>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</si>
  <si>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</si>
  <si>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</si>
  <si>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</si>
  <si>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</si>
  <si>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</si>
  <si>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</si>
  <si>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</si>
  <si>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</si>
  <si>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</si>
  <si>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</si>
  <si>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</si>
  <si>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</si>
  <si>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</si>
  <si>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</si>
  <si>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</si>
  <si>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</si>
  <si>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</si>
  <si>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</si>
  <si>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</si>
  <si>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</si>
  <si>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</si>
  <si>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</si>
  <si>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</si>
  <si>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</si>
  <si>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</si>
  <si>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</si>
  <si>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</si>
  <si>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</si>
  <si>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</si>
  <si>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</si>
  <si>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</si>
  <si>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</si>
  <si>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</si>
  <si>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</si>
  <si>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</si>
  <si>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</si>
  <si>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</si>
  <si>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</si>
  <si>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</si>
  <si>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</si>
  <si>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</si>
  <si>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</si>
  <si>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</si>
  <si>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</si>
  <si>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</si>
  <si>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</si>
  <si>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</si>
  <si>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</si>
  <si>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</si>
  <si>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</si>
  <si>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</si>
  <si>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</si>
  <si>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</si>
  <si>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</si>
  <si>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</si>
  <si>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</si>
  <si>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</si>
  <si>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</si>
  <si>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</si>
  <si>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</si>
  <si>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</si>
  <si>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</si>
  <si>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</si>
  <si>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</si>
  <si>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</si>
  <si>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</si>
  <si>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</si>
  <si>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</si>
  <si>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</si>
  <si>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</si>
  <si>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</si>
  <si>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</si>
  <si>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</si>
  <si>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</si>
  <si>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</si>
  <si>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</si>
  <si>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</si>
  <si>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</si>
  <si>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</si>
  <si>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</si>
  <si>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</si>
  <si>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</si>
  <si>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</si>
  <si>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</si>
  <si>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</si>
  <si>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</si>
  <si>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</si>
  <si>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</si>
  <si>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</si>
  <si>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</si>
  <si>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</si>
  <si>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</si>
  <si>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</si>
  <si>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</si>
  <si>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</si>
  <si>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</si>
  <si>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</si>
  <si>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</si>
  <si>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</si>
  <si>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</si>
  <si>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</si>
  <si>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</si>
  <si>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</si>
  <si>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</si>
  <si>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</si>
  <si>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</si>
  <si>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</si>
  <si>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</si>
  <si>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</si>
  <si>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</si>
  <si>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</si>
  <si>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</si>
  <si>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</si>
  <si>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</si>
  <si>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</si>
  <si>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</si>
  <si>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</si>
  <si>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</si>
  <si>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</si>
  <si>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</si>
  <si>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</si>
  <si>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</si>
  <si>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</si>
  <si>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</si>
  <si>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</si>
  <si>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</si>
  <si>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</si>
  <si>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</si>
  <si>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</si>
  <si>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</si>
  <si>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</si>
  <si>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</si>
  <si>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</si>
  <si>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</si>
  <si>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</si>
  <si>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</si>
  <si>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</si>
  <si>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</si>
  <si>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</si>
  <si>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</si>
  <si>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</si>
  <si>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</si>
  <si>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</si>
  <si>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</si>
  <si>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</si>
  <si>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</si>
  <si>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</si>
  <si>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</si>
  <si>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</si>
  <si>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</si>
  <si>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</si>
  <si>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</si>
  <si>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</si>
  <si>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</si>
  <si>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</si>
  <si>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</si>
  <si>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</si>
  <si>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</si>
  <si>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</si>
  <si>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</si>
  <si>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</si>
  <si>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</si>
  <si>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</si>
  <si>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</si>
  <si>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</si>
  <si>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</si>
  <si>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</si>
  <si>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</si>
  <si>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</si>
  <si>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</si>
  <si>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</si>
  <si>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</si>
  <si>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</si>
  <si>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</si>
  <si>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</si>
  <si>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</si>
  <si>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</si>
  <si>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</si>
  <si>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</si>
  <si>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</si>
  <si>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</si>
  <si>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</si>
  <si>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</si>
  <si>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</si>
  <si>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</si>
  <si>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</si>
  <si>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</si>
  <si>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</si>
  <si>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</si>
  <si>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</si>
  <si>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</si>
  <si>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</si>
  <si>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</si>
  <si>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</si>
  <si>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</si>
  <si>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</si>
  <si>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</si>
  <si>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</si>
  <si>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</si>
  <si>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</si>
  <si>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</si>
  <si>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</si>
  <si>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</si>
  <si>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</si>
  <si>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</si>
  <si>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</si>
  <si>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</si>
  <si>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</si>
  <si>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</si>
  <si>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</si>
  <si>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</si>
  <si>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</si>
  <si>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</si>
  <si>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</si>
  <si>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</si>
  <si>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</si>
  <si>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</si>
  <si>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</si>
  <si>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</si>
  <si>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</si>
  <si>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</si>
  <si>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</si>
  <si>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</si>
  <si>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</si>
  <si>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</si>
  <si>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</si>
  <si>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</si>
  <si>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</si>
  <si>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</si>
  <si>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</si>
  <si>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</si>
  <si>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</si>
  <si>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</si>
  <si>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</si>
  <si>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</si>
  <si>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</si>
  <si>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</si>
  <si>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</si>
  <si>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</si>
  <si>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</si>
  <si>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</si>
  <si>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</si>
  <si>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</si>
  <si>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</si>
  <si>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</si>
  <si>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</si>
  <si>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</si>
  <si>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</si>
  <si>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</si>
  <si>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</si>
  <si>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</si>
  <si>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</si>
  <si>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</si>
  <si>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</si>
  <si>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</si>
  <si>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</si>
  <si>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</si>
  <si>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</si>
  <si>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</si>
  <si>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</si>
  <si>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</si>
  <si>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</si>
  <si>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</si>
  <si>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</si>
  <si>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</si>
  <si>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</si>
  <si>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</si>
  <si>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</si>
  <si>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</si>
  <si>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</si>
  <si>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</si>
  <si>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</si>
  <si>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</si>
  <si>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</si>
  <si>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</si>
  <si>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</si>
  <si>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</si>
  <si>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</si>
  <si>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</si>
  <si>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</si>
  <si>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</si>
  <si>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</si>
  <si>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</si>
  <si>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</si>
  <si>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</si>
  <si>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</si>
  <si>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</si>
  <si>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</si>
  <si>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</si>
  <si>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</si>
  <si>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</si>
  <si>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</si>
  <si>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</si>
  <si>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</si>
  <si>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</si>
  <si>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</si>
  <si>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</si>
  <si>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</si>
  <si>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</si>
  <si>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</si>
  <si>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</si>
  <si>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</si>
  <si>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</si>
  <si>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</si>
  <si>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</si>
  <si>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</si>
  <si>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</si>
  <si>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</si>
  <si>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</si>
  <si>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</si>
  <si>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</si>
  <si>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</si>
  <si>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</si>
  <si>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</si>
  <si>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</si>
  <si>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</si>
  <si>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</si>
  <si>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</si>
  <si>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</si>
  <si>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</si>
  <si>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</si>
  <si>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</si>
  <si>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</si>
  <si>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</si>
  <si>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</si>
  <si>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</si>
  <si>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</si>
  <si>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</si>
  <si>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</si>
  <si>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</si>
  <si>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</si>
  <si>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</si>
  <si>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</si>
  <si>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</si>
  <si>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</si>
  <si>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</si>
  <si>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</si>
  <si>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</si>
  <si>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</si>
  <si>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</si>
  <si>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</si>
  <si>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</si>
  <si>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</si>
  <si>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</si>
  <si>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</si>
  <si>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</si>
  <si>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</si>
  <si>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</si>
  <si>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</si>
  <si>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</si>
  <si>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</si>
  <si>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</si>
  <si>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</si>
  <si>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</si>
  <si>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</si>
  <si>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</si>
  <si>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</si>
  <si>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</si>
  <si>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</si>
  <si>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</si>
  <si>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</si>
  <si>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</si>
  <si>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</si>
  <si>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</si>
  <si>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</si>
  <si>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</si>
  <si>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</si>
  <si>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</si>
  <si>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</si>
  <si>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</si>
  <si>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</si>
  <si>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</si>
  <si>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</si>
  <si>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</si>
  <si>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</si>
  <si>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</si>
  <si>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</si>
  <si>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</si>
  <si>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</si>
  <si>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</si>
  <si>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</si>
  <si>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</si>
  <si>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</si>
  <si>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</si>
  <si>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</si>
  <si>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</si>
  <si>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</si>
  <si>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</si>
  <si>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</si>
  <si>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</si>
  <si>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</si>
  <si>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</si>
  <si>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</si>
  <si>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</si>
  <si>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</si>
  <si>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</si>
  <si>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</si>
  <si>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</si>
  <si>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</si>
  <si>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</si>
  <si>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</si>
  <si>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</si>
  <si>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</si>
  <si>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</si>
  <si>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</si>
  <si>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</si>
  <si>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</si>
  <si>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</si>
  <si>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</si>
  <si>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</si>
  <si>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</si>
  <si>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</si>
  <si>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</si>
  <si>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</si>
  <si>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</si>
  <si>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</si>
  <si>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</si>
  <si>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</si>
  <si>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</si>
  <si>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</si>
  <si>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</si>
  <si>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</si>
  <si>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</si>
  <si>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</si>
  <si>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</si>
  <si>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</si>
  <si>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</si>
  <si>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</si>
  <si>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</si>
  <si>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</si>
  <si>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</si>
  <si>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</si>
  <si>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</si>
  <si>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</si>
  <si>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</si>
  <si>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</si>
  <si>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</si>
  <si>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</si>
  <si>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</si>
  <si>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</si>
  <si>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</si>
  <si>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</si>
  <si>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</si>
  <si>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</si>
  <si>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</si>
  <si>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</si>
  <si>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</si>
  <si>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</si>
  <si>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</si>
  <si>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</si>
  <si>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</si>
  <si>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</si>
  <si>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</si>
  <si>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</si>
  <si>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</si>
  <si>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</si>
  <si>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</si>
  <si>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</si>
  <si>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</si>
  <si>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</si>
  <si>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</si>
  <si>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</si>
  <si>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</si>
  <si>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</si>
  <si>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</si>
  <si>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</si>
  <si>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</si>
  <si>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</si>
  <si>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</si>
  <si>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</si>
  <si>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</si>
  <si>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</si>
  <si>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</si>
  <si>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</si>
  <si>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</si>
  <si>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</si>
  <si>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</si>
  <si>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</si>
  <si>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</si>
  <si>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</si>
  <si>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</si>
  <si>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</si>
  <si>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</si>
  <si>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</si>
  <si>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</si>
  <si>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</si>
  <si>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</si>
  <si>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</si>
  <si>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</si>
  <si>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</si>
  <si>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</si>
  <si>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</si>
  <si>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</si>
  <si>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</si>
  <si>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</si>
  <si>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</si>
  <si>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</si>
  <si>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</si>
  <si>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</si>
  <si>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</si>
  <si>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</si>
  <si>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</si>
  <si>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</si>
  <si>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</si>
  <si>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</si>
  <si>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</si>
  <si>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</si>
  <si>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</si>
  <si>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</si>
  <si>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</si>
  <si>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</si>
  <si>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</si>
  <si>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</si>
  <si>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</si>
  <si>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</si>
  <si>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</si>
  <si>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</si>
  <si>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</si>
  <si>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</si>
  <si>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</si>
  <si>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</si>
  <si>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</si>
  <si>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</si>
  <si>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</si>
  <si>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</si>
  <si>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</si>
  <si>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</si>
  <si>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</si>
  <si>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</si>
  <si>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</si>
  <si>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</si>
  <si>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</si>
  <si>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</si>
  <si>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</si>
  <si>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</si>
  <si>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</si>
  <si>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</si>
  <si>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</si>
  <si>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</si>
  <si>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</si>
  <si>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</si>
  <si>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</si>
  <si>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</si>
  <si>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</si>
  <si>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</si>
  <si>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</si>
  <si>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</si>
  <si>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</si>
  <si>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</si>
  <si>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</si>
  <si>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</si>
  <si>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</si>
  <si>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</si>
  <si>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</si>
  <si>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</si>
  <si>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</si>
  <si>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</si>
  <si>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</si>
  <si>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</si>
  <si>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</si>
  <si>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</si>
  <si>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</si>
  <si>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</si>
  <si>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</si>
  <si>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</si>
  <si>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</si>
  <si>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</si>
  <si>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</si>
  <si>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</si>
  <si>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</si>
  <si>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</si>
  <si>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</si>
  <si>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</si>
  <si>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</si>
  <si>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</si>
  <si>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</si>
  <si>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</si>
  <si>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</si>
  <si>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</si>
  <si>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</si>
  <si>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</si>
  <si>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</si>
  <si>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</si>
  <si>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</si>
  <si>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</si>
  <si>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</si>
  <si>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</si>
  <si>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</si>
  <si>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</si>
  <si>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</si>
  <si>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</si>
  <si>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</si>
  <si>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</si>
  <si>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</si>
  <si>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</si>
  <si>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</si>
  <si>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</si>
  <si>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</si>
  <si>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</si>
  <si>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</si>
  <si>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</si>
  <si>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</si>
  <si>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</si>
  <si>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</si>
  <si>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</si>
  <si>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</si>
  <si>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</si>
  <si>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</si>
  <si>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</si>
  <si>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</si>
  <si>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</si>
  <si>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</si>
  <si>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</si>
  <si>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</si>
  <si>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</si>
  <si>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</si>
  <si>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</si>
  <si>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</si>
  <si>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</si>
  <si>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</si>
  <si>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</si>
  <si>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</si>
  <si>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</si>
  <si>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</si>
  <si>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</si>
  <si>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</si>
  <si>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</si>
  <si>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</si>
  <si>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</si>
  <si>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</si>
  <si>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</si>
  <si>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</si>
  <si>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</si>
  <si>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</si>
  <si>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</si>
  <si>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</si>
  <si>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</si>
  <si>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</si>
  <si>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</si>
  <si>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</si>
  <si>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</si>
  <si>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</si>
  <si>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</si>
  <si>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</si>
  <si>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</si>
  <si>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</si>
  <si>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</si>
  <si>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</si>
  <si>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</si>
  <si>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</si>
  <si>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</si>
  <si>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</si>
  <si>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</si>
  <si>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</si>
  <si>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</si>
  <si>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</si>
  <si>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</si>
  <si>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</si>
  <si>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</si>
  <si>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</si>
  <si>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</si>
  <si>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</si>
  <si>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</si>
  <si>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</si>
  <si>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</si>
  <si>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</si>
  <si>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</si>
  <si>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</si>
  <si>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</si>
  <si>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</si>
  <si>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</si>
  <si>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</si>
  <si>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</si>
  <si>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</si>
  <si>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</si>
  <si>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</si>
  <si>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</si>
  <si>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</si>
  <si>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</si>
  <si>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</si>
  <si>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</si>
  <si>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</si>
  <si>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</si>
  <si>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</si>
  <si>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</si>
  <si>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</si>
  <si>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</si>
  <si>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</si>
  <si>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</si>
  <si>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</si>
  <si>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</si>
  <si>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</si>
  <si>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</si>
  <si>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</si>
  <si>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</si>
  <si>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</si>
  <si>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</si>
  <si>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</si>
  <si>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</si>
  <si>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</si>
  <si>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</si>
  <si>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</si>
  <si>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</si>
  <si>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</si>
  <si>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</si>
  <si>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</si>
  <si>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</si>
  <si>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</si>
  <si>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</si>
  <si>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</si>
  <si>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</si>
  <si>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</si>
  <si>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</si>
  <si>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</si>
  <si>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</si>
  <si>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</si>
  <si>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</si>
  <si>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</si>
  <si>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</si>
  <si>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</si>
  <si>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</si>
  <si>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</si>
  <si>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</si>
  <si>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</si>
  <si>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</si>
  <si>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</si>
  <si>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</si>
  <si>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</si>
  <si>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</si>
  <si>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</si>
  <si>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</si>
  <si>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</si>
  <si>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</si>
  <si>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</si>
  <si>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</si>
  <si>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</si>
  <si>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</si>
  <si>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</si>
  <si>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</si>
  <si>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</si>
  <si>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</si>
  <si>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</si>
  <si>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</si>
  <si>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</si>
  <si>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</si>
  <si>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</si>
  <si>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</si>
  <si>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</si>
  <si>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</si>
  <si>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</si>
  <si>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</si>
  <si>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</si>
  <si>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</si>
  <si>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</si>
  <si>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</si>
  <si>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</si>
  <si>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</si>
  <si>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</si>
  <si>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</si>
  <si>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</si>
  <si>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</si>
  <si>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</si>
  <si>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</si>
  <si>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</si>
  <si>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</si>
  <si>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</si>
  <si>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</si>
  <si>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</si>
  <si>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</si>
  <si>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</si>
  <si>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</si>
  <si>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</si>
  <si>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</si>
  <si>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</si>
  <si>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</si>
  <si>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</si>
  <si>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</si>
  <si>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</si>
  <si>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</si>
  <si>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</si>
  <si>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</si>
  <si>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</si>
  <si>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</si>
  <si>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</si>
  <si>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</si>
  <si>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</si>
  <si>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</si>
  <si>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</si>
  <si>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</si>
  <si>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</si>
  <si>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</si>
  <si>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</si>
  <si>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</si>
  <si>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</si>
  <si>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</si>
  <si>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</si>
  <si>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</si>
  <si>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</si>
  <si>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</si>
  <si>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</si>
  <si>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</si>
  <si>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</si>
  <si>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</si>
  <si>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</si>
  <si>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</si>
  <si>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</si>
  <si>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</si>
  <si>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</si>
  <si>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</si>
  <si>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</si>
  <si>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</si>
  <si>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</si>
  <si>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</si>
  <si>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</si>
  <si>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</si>
  <si>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</si>
  <si>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</si>
  <si>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</si>
  <si>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</si>
  <si>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</si>
  <si>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</si>
  <si>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</si>
  <si>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</si>
  <si>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</si>
  <si>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</si>
  <si>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</si>
  <si>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</si>
  <si>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</si>
  <si>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</si>
  <si>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</si>
  <si>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</si>
  <si>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</si>
  <si>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</si>
  <si>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</si>
  <si>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</si>
  <si>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</si>
  <si>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</si>
  <si>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</si>
  <si>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</si>
  <si>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</si>
  <si>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</si>
  <si>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</si>
  <si>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</si>
  <si>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</si>
  <si>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</si>
  <si>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</si>
  <si>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</si>
  <si>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</si>
  <si>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</si>
  <si>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</si>
  <si>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</si>
  <si>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</si>
  <si>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</si>
  <si>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</si>
  <si>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</si>
  <si>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</si>
  <si>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</si>
  <si>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</si>
  <si>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</si>
  <si>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</si>
  <si>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</si>
  <si>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</si>
  <si>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</si>
  <si>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</si>
  <si>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</si>
  <si>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</si>
  <si>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</si>
  <si>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</si>
  <si>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</si>
  <si>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</si>
  <si>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</si>
  <si>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</si>
  <si>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</si>
  <si>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</si>
  <si>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</si>
  <si>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</si>
  <si>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</si>
  <si>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</si>
  <si>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</si>
  <si>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</si>
  <si>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</si>
  <si>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</si>
  <si>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</si>
  <si>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</si>
  <si>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</si>
  <si>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</si>
  <si>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</si>
  <si>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</si>
  <si>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</si>
  <si>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</si>
  <si>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</si>
  <si>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</si>
  <si>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</si>
  <si>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</si>
  <si>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</si>
  <si>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</si>
  <si>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</si>
  <si>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</si>
  <si>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</si>
  <si>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</si>
  <si>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</si>
  <si>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</si>
  <si>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</si>
  <si>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</si>
  <si>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</si>
  <si>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</si>
  <si>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</si>
  <si>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</si>
  <si>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</si>
  <si>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</si>
  <si>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</si>
  <si>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</si>
  <si>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</si>
  <si>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</si>
  <si>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</si>
  <si>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</si>
  <si>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</si>
  <si>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</si>
  <si>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</si>
  <si>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</si>
  <si>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</si>
  <si>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</si>
  <si>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</si>
  <si>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</si>
  <si>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</si>
  <si>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</si>
  <si>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</si>
  <si>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</si>
  <si>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</si>
  <si>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</si>
  <si>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</si>
  <si>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</si>
  <si>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</si>
  <si>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</si>
  <si>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</si>
  <si>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</si>
  <si>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</si>
  <si>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</si>
  <si>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</si>
  <si>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</si>
  <si>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</si>
  <si>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</si>
  <si>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</si>
  <si>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</si>
  <si>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</si>
  <si>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</si>
  <si>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</si>
  <si>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</si>
  <si>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</si>
  <si>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</si>
  <si>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</si>
  <si>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</si>
  <si>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</si>
  <si>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</si>
  <si>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</si>
  <si>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</si>
  <si>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</si>
  <si>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</si>
  <si>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</si>
  <si>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</si>
  <si>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</si>
  <si>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</si>
  <si>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</si>
  <si>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</si>
  <si>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</si>
  <si>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</si>
  <si>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</si>
  <si>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</si>
  <si>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</si>
  <si>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</si>
  <si>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</si>
  <si>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</si>
  <si>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</si>
  <si>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</si>
  <si>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</si>
  <si>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</si>
  <si>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</si>
  <si>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</si>
  <si>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</si>
  <si>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</si>
  <si>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</si>
  <si>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</si>
  <si>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</si>
  <si>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</si>
  <si>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</si>
  <si>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</si>
  <si>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</si>
  <si>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</si>
  <si>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</si>
  <si>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</si>
  <si>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</si>
  <si>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</si>
  <si>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</si>
  <si>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</si>
  <si>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</si>
  <si>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</si>
  <si>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</si>
  <si>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</si>
  <si>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</si>
  <si>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</si>
  <si>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</si>
  <si>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</si>
  <si>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</si>
  <si>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</si>
  <si>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</si>
  <si>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</si>
  <si>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</si>
  <si>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</si>
  <si>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</si>
  <si>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</si>
  <si>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</si>
  <si>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</si>
  <si>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</si>
  <si>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</si>
  <si>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</si>
  <si>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</si>
  <si>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</si>
  <si>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</si>
  <si>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</si>
  <si>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</si>
  <si>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</si>
  <si>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</si>
  <si>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</si>
  <si>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</si>
  <si>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</si>
  <si>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</si>
  <si>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</si>
  <si>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</si>
  <si>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</si>
  <si>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</si>
  <si>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</si>
  <si>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</si>
  <si>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</si>
  <si>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</si>
  <si>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</si>
  <si>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</si>
  <si>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</si>
  <si>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</si>
  <si>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</si>
  <si>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</si>
  <si>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</si>
  <si>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</si>
  <si>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</si>
  <si>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</si>
  <si>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</si>
  <si>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</si>
  <si>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</si>
  <si>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</si>
  <si>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</si>
  <si>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</si>
  <si>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</si>
  <si>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</si>
  <si>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</si>
  <si>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</si>
  <si>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</si>
  <si>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</si>
  <si>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</si>
  <si>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</si>
  <si>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</si>
  <si>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</si>
  <si>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</si>
  <si>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</si>
  <si>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</si>
  <si>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</si>
  <si>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</si>
  <si>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</si>
  <si>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</si>
  <si>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</si>
  <si>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</si>
  <si>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</si>
  <si>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</si>
  <si>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</si>
  <si>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</si>
  <si>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</si>
  <si>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</si>
  <si>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</si>
  <si>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</si>
  <si>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</si>
  <si>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</si>
  <si>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</si>
  <si>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</si>
  <si>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</si>
  <si>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</si>
  <si>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</si>
  <si>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</si>
  <si>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</si>
  <si>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</si>
  <si>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</si>
  <si>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</si>
  <si>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</si>
  <si>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</si>
  <si>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</si>
  <si>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</si>
  <si>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</si>
  <si>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</si>
  <si>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</si>
  <si>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</si>
  <si>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</si>
  <si>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</si>
  <si>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</si>
  <si>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</si>
  <si>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</si>
  <si>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</si>
  <si>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</si>
  <si>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</si>
  <si>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</si>
  <si>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</si>
  <si>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</si>
  <si>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</si>
  <si>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</si>
  <si>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</si>
  <si>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</si>
  <si>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</si>
  <si>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</si>
  <si>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</si>
  <si>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</si>
  <si>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</si>
  <si>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</si>
  <si>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</si>
  <si>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</si>
  <si>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</si>
  <si>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</si>
  <si>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</si>
  <si>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</si>
  <si>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</si>
  <si>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</si>
  <si>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</si>
  <si>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</si>
  <si>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</si>
  <si>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</si>
  <si>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</si>
  <si>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</si>
  <si>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</si>
  <si>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</si>
  <si>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</si>
  <si>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</si>
  <si>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</si>
  <si>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</si>
  <si>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</si>
  <si>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</si>
  <si>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</si>
  <si>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</si>
  <si>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</si>
  <si>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</si>
  <si>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</si>
  <si>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</si>
  <si>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</si>
  <si>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</si>
  <si>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</si>
  <si>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</si>
  <si>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</si>
  <si>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</si>
  <si>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</si>
  <si>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</si>
  <si>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</si>
  <si>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</si>
  <si>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</si>
  <si>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</si>
  <si>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</si>
  <si>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</si>
  <si>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</si>
  <si>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</si>
  <si>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</si>
  <si>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</si>
  <si>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</si>
  <si>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</si>
  <si>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</si>
  <si>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</si>
  <si>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</si>
  <si>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</si>
  <si>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</si>
  <si>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</si>
  <si>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</si>
  <si>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</si>
  <si>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</si>
  <si>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</si>
  <si>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</si>
  <si>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</si>
  <si>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</si>
  <si>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</si>
  <si>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</si>
  <si>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</si>
  <si>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</si>
  <si>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</si>
  <si>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</si>
  <si>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</si>
  <si>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</si>
  <si>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</si>
  <si>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</si>
  <si>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</si>
  <si>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</si>
  <si>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</si>
  <si>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</si>
  <si>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</si>
  <si>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</si>
  <si>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</si>
  <si>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</si>
  <si>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</si>
  <si>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</si>
  <si>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</si>
  <si>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</si>
  <si>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</si>
  <si>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</si>
  <si>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</si>
  <si>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</si>
  <si>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</si>
  <si>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</si>
  <si>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</si>
  <si>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</si>
  <si>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</si>
  <si>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</si>
  <si>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</si>
  <si>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</si>
  <si>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</si>
  <si>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</si>
  <si>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</si>
  <si>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</si>
  <si>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</si>
  <si>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</si>
  <si>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</si>
  <si>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</si>
  <si>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</si>
  <si>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</si>
  <si>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</si>
  <si>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</si>
  <si>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</si>
  <si>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</si>
  <si>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</si>
  <si>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</si>
  <si>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</si>
  <si>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</si>
  <si>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</si>
  <si>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</si>
  <si>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</si>
  <si>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</si>
  <si>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</si>
  <si>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</si>
  <si>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</si>
  <si>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</si>
  <si>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</si>
  <si>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</si>
  <si>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</si>
  <si>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</si>
  <si>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</si>
  <si>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</si>
  <si>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</si>
  <si>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</si>
  <si>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</si>
  <si>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</si>
  <si>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</si>
  <si>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</si>
  <si>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</si>
  <si>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</si>
  <si>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</si>
  <si>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</si>
  <si>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</si>
  <si>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</si>
  <si>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</si>
  <si>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</si>
  <si>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</si>
  <si>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</si>
  <si>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</si>
  <si>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</si>
  <si>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</si>
  <si>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</si>
  <si>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</si>
  <si>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</si>
  <si>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</si>
  <si>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</si>
  <si>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</si>
  <si>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</si>
  <si>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</si>
  <si>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</si>
  <si>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</si>
  <si>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</si>
  <si>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</si>
  <si>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</si>
  <si>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</si>
  <si>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</si>
  <si>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</si>
  <si>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</si>
  <si>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</si>
  <si>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</si>
  <si>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</si>
  <si>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</si>
  <si>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</si>
  <si>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</si>
  <si>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</si>
  <si>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</si>
  <si>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</si>
  <si>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</si>
  <si>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</si>
  <si>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</si>
  <si>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</si>
  <si>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</si>
  <si>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</si>
  <si>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</si>
  <si>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</si>
  <si>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</si>
  <si>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</si>
  <si>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</si>
  <si>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</si>
  <si>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</si>
  <si>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</si>
  <si>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</si>
  <si>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</si>
  <si>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</si>
  <si>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</si>
  <si>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</si>
  <si>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</si>
  <si>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</si>
  <si>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</si>
  <si>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</si>
  <si>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</si>
  <si>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</si>
  <si>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</si>
  <si>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</si>
  <si>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</si>
  <si>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</si>
  <si>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</si>
  <si>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</si>
  <si>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</si>
  <si>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</si>
  <si>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</si>
  <si>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</si>
  <si>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</si>
  <si>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</si>
  <si>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</si>
  <si>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</si>
  <si>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</si>
  <si>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</si>
  <si>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</si>
  <si>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</si>
  <si>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</si>
  <si>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</si>
  <si>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</si>
  <si>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</si>
  <si>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</si>
  <si>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</si>
  <si>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</si>
  <si>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</si>
  <si>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</si>
  <si>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</si>
  <si>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</si>
  <si>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</si>
  <si>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</si>
  <si>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</si>
  <si>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</si>
  <si>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</si>
  <si>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</si>
  <si>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</si>
  <si>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</si>
  <si>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</si>
  <si>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</si>
  <si>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</si>
  <si>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</si>
  <si>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</si>
  <si>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</si>
  <si>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</si>
  <si>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</si>
  <si>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</si>
  <si>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</si>
  <si>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</si>
  <si>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</si>
  <si>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</si>
  <si>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</si>
  <si>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</si>
  <si>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</si>
  <si>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</si>
  <si>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</si>
  <si>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</si>
  <si>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</si>
  <si>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</si>
  <si>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</si>
  <si>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</si>
  <si>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</si>
  <si>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</si>
  <si>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</si>
  <si>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</si>
  <si>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</si>
  <si>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</si>
  <si>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</si>
  <si>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</si>
  <si>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</si>
  <si>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</si>
  <si>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</si>
  <si>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</si>
  <si>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</si>
  <si>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</si>
  <si>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</si>
  <si>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</si>
  <si>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</si>
  <si>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</si>
  <si>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</si>
  <si>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</si>
  <si>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</si>
  <si>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</si>
  <si>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</si>
  <si>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</si>
  <si>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</si>
  <si>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</si>
  <si>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</si>
  <si>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</si>
  <si>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</si>
  <si>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</si>
  <si>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</si>
  <si>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</si>
  <si>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</si>
  <si>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</si>
  <si>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</si>
  <si>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</si>
  <si>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</si>
  <si>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</si>
  <si>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</si>
  <si>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</si>
  <si>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</si>
  <si>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</si>
  <si>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</si>
  <si>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</si>
  <si>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</si>
  <si>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</si>
  <si>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</si>
  <si>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</si>
  <si>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</si>
  <si>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</si>
  <si>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</si>
  <si>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</si>
  <si>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</si>
  <si>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</si>
  <si>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</si>
  <si>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</si>
  <si>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</si>
  <si>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</si>
  <si>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</si>
  <si>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</si>
  <si>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</si>
  <si>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</si>
  <si>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</si>
  <si>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</si>
  <si>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</si>
  <si>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</si>
  <si>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</si>
  <si>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</si>
  <si>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</si>
  <si>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</si>
  <si>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</si>
  <si>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</si>
  <si>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</si>
  <si>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</si>
  <si>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</si>
  <si>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</si>
  <si>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</si>
  <si>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</si>
  <si>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</si>
  <si>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</si>
  <si>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</si>
  <si>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</si>
  <si>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</si>
  <si>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</si>
  <si>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</si>
  <si>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</si>
  <si>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</si>
  <si>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</si>
  <si>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</si>
  <si>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</si>
  <si>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</si>
  <si>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</si>
  <si>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</si>
  <si>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</si>
  <si>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</si>
  <si>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</si>
  <si>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</si>
  <si>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</si>
  <si>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</si>
  <si>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</si>
  <si>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</si>
  <si>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</si>
  <si>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</si>
  <si>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</si>
  <si>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</si>
  <si>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</si>
  <si>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</si>
  <si>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</si>
  <si>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</si>
  <si>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</si>
  <si>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</si>
  <si>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</si>
  <si>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</si>
  <si>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</si>
  <si>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</si>
  <si>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</si>
  <si>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</si>
  <si>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</si>
  <si>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</si>
  <si>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</si>
  <si>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</si>
  <si>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</si>
  <si>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</si>
  <si>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</si>
  <si>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</si>
  <si>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</si>
  <si>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</si>
  <si>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</si>
  <si>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</si>
  <si>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</si>
  <si>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</si>
  <si>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</si>
  <si>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</si>
  <si>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</si>
  <si>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</si>
  <si>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</si>
  <si>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</si>
  <si>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</si>
  <si>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</si>
  <si>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</si>
  <si>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</si>
  <si>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</si>
  <si>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</si>
  <si>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</si>
  <si>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</si>
  <si>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</si>
  <si>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</si>
  <si>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</si>
  <si>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</si>
  <si>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</si>
  <si>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</si>
  <si>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</si>
  <si>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</si>
  <si>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</si>
  <si>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</si>
  <si>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</si>
  <si>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</si>
  <si>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</si>
  <si>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</si>
  <si>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</si>
  <si>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</si>
  <si>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</si>
  <si>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</si>
  <si>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</si>
  <si>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</si>
  <si>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</si>
  <si>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</si>
  <si>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</si>
  <si>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</si>
  <si>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</si>
  <si>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</si>
  <si>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</si>
  <si>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</si>
  <si>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</si>
  <si>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</si>
  <si>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</si>
  <si>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</si>
  <si>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</si>
  <si>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</si>
  <si>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</si>
  <si>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</si>
  <si>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</si>
  <si>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</si>
  <si>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</si>
  <si>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</si>
  <si>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</si>
  <si>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</si>
  <si>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</si>
  <si>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</si>
  <si>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</si>
  <si>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</si>
  <si>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</si>
  <si>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</si>
  <si>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</si>
  <si>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</si>
  <si>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</si>
  <si>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</si>
  <si>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</si>
  <si>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</si>
  <si>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</si>
  <si>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</si>
  <si>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</si>
  <si>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</si>
  <si>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</si>
  <si>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</si>
  <si>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</si>
  <si>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</si>
  <si>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</si>
  <si>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</si>
  <si>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</si>
  <si>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</si>
  <si>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</si>
  <si>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</si>
  <si>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</si>
  <si>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</si>
  <si>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</si>
  <si>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</si>
  <si>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</si>
  <si>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</si>
  <si>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</si>
  <si>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</si>
  <si>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</si>
  <si>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</si>
  <si>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</si>
  <si>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</si>
  <si>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</si>
  <si>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</si>
  <si>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</si>
  <si>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</si>
  <si>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</si>
  <si>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</si>
  <si>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</si>
  <si>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</si>
  <si>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</si>
  <si>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</si>
  <si>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</si>
  <si>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</si>
  <si>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</si>
  <si>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</si>
  <si>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</si>
  <si>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</si>
  <si>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</si>
  <si>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</si>
  <si>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</si>
  <si>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</si>
  <si>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</si>
  <si>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</si>
  <si>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</si>
  <si>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</si>
  <si>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</si>
  <si>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</si>
  <si>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</si>
  <si>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</si>
  <si>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</si>
  <si>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</si>
  <si>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</si>
  <si>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</si>
  <si>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</si>
  <si>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</si>
  <si>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</si>
  <si>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</si>
  <si>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</si>
  <si>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</si>
  <si>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</si>
  <si>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</si>
  <si>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</si>
  <si>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</si>
  <si>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</si>
  <si>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</si>
  <si>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</si>
  <si>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</si>
  <si>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</si>
  <si>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</si>
  <si>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</si>
  <si>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</si>
  <si>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</si>
  <si>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</si>
  <si>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</si>
  <si>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</si>
  <si>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</si>
  <si>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</si>
  <si>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</si>
  <si>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</si>
  <si>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</si>
  <si>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</si>
  <si>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</si>
  <si>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</si>
  <si>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</si>
  <si>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</si>
  <si>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</si>
  <si>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</si>
  <si>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</si>
  <si>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</si>
  <si>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</si>
  <si>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</si>
  <si>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</si>
  <si>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</si>
  <si>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</si>
  <si>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</si>
  <si>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</si>
  <si>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</si>
  <si>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</si>
  <si>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</si>
  <si>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</si>
  <si>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</si>
  <si>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</si>
  <si>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</si>
  <si>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</si>
  <si>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</si>
  <si>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</si>
  <si>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</si>
  <si>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</si>
  <si>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</si>
  <si>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</si>
  <si>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</si>
  <si>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</si>
  <si>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</si>
  <si>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</si>
  <si>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</si>
  <si>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</si>
  <si>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</si>
  <si>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</si>
  <si>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</si>
  <si>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</si>
  <si>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</si>
  <si>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</si>
  <si>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</si>
  <si>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</si>
  <si>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</si>
  <si>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</si>
  <si>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</si>
  <si>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</si>
  <si>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</si>
  <si>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</si>
  <si>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</si>
  <si>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</si>
  <si>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</si>
  <si>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</si>
  <si>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</si>
  <si>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</si>
  <si>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</si>
  <si>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</si>
  <si>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</si>
  <si>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</si>
  <si>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</si>
  <si>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</si>
  <si>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</si>
  <si>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</si>
  <si>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</si>
  <si>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</si>
  <si>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</si>
  <si>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</si>
  <si>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</si>
  <si>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</si>
  <si>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</si>
  <si>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</si>
  <si>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</si>
  <si>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</si>
  <si>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</si>
  <si>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</si>
  <si>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</si>
  <si>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</si>
  <si>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</si>
  <si>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</si>
  <si>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</si>
  <si>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</si>
  <si>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</si>
  <si>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</si>
  <si>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</si>
  <si>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</si>
  <si>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</si>
  <si>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</si>
  <si>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</si>
  <si>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</si>
  <si>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</si>
  <si>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</si>
  <si>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</si>
  <si>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</si>
  <si>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</si>
  <si>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</si>
  <si>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</si>
  <si>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</si>
  <si>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</si>
  <si>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</si>
  <si>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</si>
  <si>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</si>
  <si>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</si>
  <si>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</si>
  <si>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</si>
  <si>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</si>
  <si>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</si>
  <si>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</si>
  <si>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</si>
  <si>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</si>
  <si>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</si>
  <si>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</si>
  <si>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</si>
  <si>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</si>
  <si>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</si>
  <si>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</si>
  <si>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</si>
  <si>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</si>
  <si>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</si>
  <si>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</si>
  <si>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</si>
  <si>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</si>
  <si>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</si>
  <si>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</si>
  <si>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</si>
  <si>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</si>
  <si>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</si>
  <si>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</si>
  <si>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</si>
  <si>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</si>
  <si>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</si>
  <si>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</si>
  <si>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</si>
  <si>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</si>
  <si>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</si>
  <si>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</si>
  <si>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</si>
  <si>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</si>
  <si>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</si>
  <si>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</si>
  <si>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</si>
  <si>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</si>
  <si>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</si>
  <si>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</si>
  <si>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</si>
  <si>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</si>
  <si>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</si>
  <si>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</si>
  <si>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</si>
  <si>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</si>
  <si>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</si>
  <si>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</si>
  <si>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</si>
  <si>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</si>
  <si>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</si>
  <si>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</si>
  <si>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</si>
  <si>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</si>
  <si>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</si>
  <si>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</si>
  <si>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</si>
  <si>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</si>
  <si>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</si>
  <si>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</si>
  <si>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</si>
  <si>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</si>
  <si>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</si>
  <si>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</si>
  <si>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</si>
  <si>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</si>
  <si>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</si>
  <si>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</si>
  <si>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</si>
  <si>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</si>
  <si>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</si>
  <si>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</si>
  <si>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</si>
  <si>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</si>
  <si>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</si>
  <si>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</si>
  <si>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</si>
  <si>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</si>
  <si>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</si>
  <si>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</si>
  <si>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</si>
  <si>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</si>
  <si>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</si>
  <si>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</si>
  <si>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</si>
  <si>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</si>
  <si>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</si>
  <si>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</si>
  <si>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</si>
  <si>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</si>
  <si>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</si>
  <si>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</si>
  <si>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</si>
  <si>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</si>
  <si>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</si>
  <si>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</si>
  <si>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</si>
  <si>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</si>
  <si>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</si>
  <si>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</si>
  <si>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</si>
  <si>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</si>
  <si>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</si>
  <si>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</si>
  <si>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</si>
  <si>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</si>
  <si>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</si>
  <si>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</si>
  <si>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</si>
  <si>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</si>
  <si>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</si>
  <si>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</si>
  <si>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</si>
  <si>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</si>
  <si>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</si>
  <si>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</si>
  <si>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</si>
  <si>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</si>
  <si>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</si>
  <si>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</si>
  <si>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</si>
  <si>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</si>
  <si>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</si>
  <si>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</si>
  <si>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</si>
  <si>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</si>
  <si>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</si>
  <si>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</si>
  <si>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</si>
  <si>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</si>
  <si>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</si>
  <si>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</si>
  <si>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</si>
  <si>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</si>
  <si>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</si>
  <si>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</si>
  <si>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</si>
  <si>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</si>
  <si>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</si>
  <si>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</si>
  <si>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</si>
  <si>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</si>
  <si>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</si>
  <si>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</si>
  <si>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</si>
  <si>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</si>
  <si>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</si>
  <si>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</si>
  <si>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</si>
  <si>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</si>
  <si>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</si>
  <si>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</si>
  <si>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</si>
  <si>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</si>
  <si>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</si>
  <si>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</si>
  <si>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</si>
  <si>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</si>
  <si>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</si>
  <si>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</si>
  <si>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</si>
  <si>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</si>
  <si>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</si>
  <si>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</si>
  <si>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</si>
  <si>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</si>
  <si>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</si>
  <si>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</si>
  <si>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</si>
  <si>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</si>
  <si>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</si>
  <si>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</si>
  <si>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</si>
  <si>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</si>
  <si>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</si>
  <si>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</si>
  <si>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</si>
  <si>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</si>
  <si>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</si>
  <si>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</si>
  <si>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</si>
  <si>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</si>
  <si>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</si>
  <si>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</si>
  <si>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</si>
  <si>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</si>
  <si>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</si>
  <si>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</si>
  <si>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</si>
  <si>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</si>
  <si>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</si>
  <si>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</si>
  <si>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</si>
  <si>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</si>
  <si>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</si>
  <si>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</si>
  <si>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</si>
  <si>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</si>
  <si>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</si>
  <si>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</si>
  <si>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</si>
  <si>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</si>
  <si>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</si>
  <si>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</si>
  <si>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</si>
  <si>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</si>
  <si>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</si>
  <si>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</si>
  <si>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</si>
  <si>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</si>
  <si>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</si>
  <si>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</si>
  <si>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</si>
  <si>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</si>
  <si>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</si>
  <si>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</si>
  <si>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</si>
  <si>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</si>
  <si>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</si>
  <si>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</si>
  <si>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</si>
  <si>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</si>
  <si>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</si>
  <si>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</si>
  <si>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</si>
  <si>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</si>
  <si>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</si>
  <si>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</si>
  <si>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</si>
  <si>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</si>
  <si>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</si>
  <si>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</si>
  <si>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</si>
  <si>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</si>
  <si>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</si>
  <si>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</si>
  <si>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</si>
  <si>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</si>
  <si>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</si>
  <si>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</si>
  <si>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</si>
  <si>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</si>
  <si>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</si>
  <si>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</si>
  <si>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</si>
  <si>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</si>
  <si>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</si>
  <si>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</si>
  <si>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</si>
  <si>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</si>
  <si>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</si>
  <si>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</si>
  <si>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</si>
  <si>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</si>
  <si>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</si>
  <si>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</si>
  <si>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</si>
  <si>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</si>
  <si>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</si>
  <si>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</si>
  <si>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</si>
  <si>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</si>
  <si>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</si>
  <si>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</si>
  <si>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</si>
  <si>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</si>
  <si>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</si>
  <si>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</si>
  <si>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</si>
  <si>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</si>
  <si>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</si>
  <si>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</si>
  <si>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</si>
  <si>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</si>
  <si>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</si>
  <si>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</si>
  <si>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</si>
  <si>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</si>
  <si>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</si>
  <si>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</si>
  <si>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</si>
  <si>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</si>
  <si>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</si>
  <si>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</si>
  <si>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</si>
  <si>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</si>
  <si>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</si>
  <si>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</si>
  <si>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</si>
  <si>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</si>
  <si>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</si>
  <si>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</si>
  <si>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</si>
  <si>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</si>
  <si>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</si>
  <si>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</si>
  <si>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</si>
  <si>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</si>
  <si>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</si>
  <si>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</si>
  <si>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</si>
  <si>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</si>
  <si>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</si>
  <si>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</si>
  <si>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</si>
  <si>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</si>
  <si>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</si>
  <si>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</si>
  <si>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</si>
  <si>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</si>
  <si>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</si>
  <si>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</si>
  <si>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</si>
  <si>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</si>
  <si>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</si>
  <si>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</si>
  <si>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</si>
  <si>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</si>
  <si>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</si>
  <si>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</si>
  <si>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</si>
  <si>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</si>
  <si>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</si>
  <si>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</si>
  <si>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</si>
  <si>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</si>
  <si>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</si>
  <si>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</si>
  <si>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</si>
  <si>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</si>
  <si>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</si>
  <si>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</si>
  <si>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</si>
  <si>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</si>
  <si>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</si>
  <si>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</si>
  <si>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</si>
  <si>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</si>
  <si>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</si>
  <si>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</si>
  <si>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</si>
  <si>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</si>
  <si>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</si>
  <si>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</si>
  <si>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</si>
  <si>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</si>
  <si>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</si>
  <si>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</si>
  <si>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</si>
  <si>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</si>
  <si>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</si>
  <si>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</si>
  <si>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</si>
  <si>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</si>
  <si>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</si>
  <si>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</si>
  <si>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</si>
  <si>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</si>
  <si>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</si>
  <si>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</si>
  <si>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</si>
  <si>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</si>
  <si>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</si>
  <si>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</si>
  <si>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</si>
  <si>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</si>
  <si>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</si>
  <si>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</si>
  <si>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</si>
  <si>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</si>
  <si>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</si>
  <si>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</si>
  <si>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</si>
  <si>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</si>
  <si>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</si>
  <si>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</si>
  <si>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</si>
  <si>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</si>
  <si>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</si>
  <si>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</si>
  <si>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</si>
  <si>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</si>
  <si>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</si>
  <si>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</si>
  <si>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</si>
  <si>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</si>
  <si>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</si>
  <si>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</si>
  <si>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</si>
  <si>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</si>
  <si>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</si>
  <si>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</si>
  <si>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</si>
  <si>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</si>
  <si>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</si>
  <si>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</si>
  <si>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</si>
  <si>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</si>
  <si>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</si>
  <si>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</si>
  <si>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</si>
  <si>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</si>
  <si>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</si>
  <si>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</si>
  <si>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</si>
  <si>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</si>
  <si>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</si>
  <si>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</si>
  <si>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</si>
  <si>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</si>
  <si>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</si>
  <si>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</si>
  <si>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</si>
  <si>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</si>
  <si>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</si>
  <si>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</si>
  <si>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</si>
  <si>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</si>
  <si>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</si>
  <si>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</si>
  <si>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</si>
  <si>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</si>
  <si>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</si>
  <si>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</si>
  <si>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</si>
  <si>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</si>
  <si>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</si>
  <si>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</si>
  <si>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</si>
  <si>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</si>
  <si>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</si>
  <si>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</si>
  <si>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</si>
  <si>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</si>
  <si>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</si>
  <si>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</si>
  <si>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</si>
  <si>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</si>
  <si>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</si>
  <si>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</si>
  <si>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</si>
  <si>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</si>
  <si>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</si>
  <si>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</si>
  <si>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</si>
  <si>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</si>
  <si>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</si>
  <si>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</si>
  <si>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</si>
  <si>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</si>
  <si>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</si>
  <si>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</si>
  <si>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</si>
  <si>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</si>
  <si>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</si>
  <si>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</si>
  <si>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</si>
  <si>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</si>
  <si>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</si>
  <si>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</si>
  <si>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</si>
  <si>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</si>
  <si>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</si>
  <si>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</si>
  <si>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</si>
  <si>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</si>
  <si>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</si>
  <si>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</si>
  <si>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</si>
  <si>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</si>
  <si>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</si>
  <si>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</si>
  <si>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</si>
  <si>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</si>
  <si>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</si>
  <si>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</si>
  <si>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</si>
  <si>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</si>
  <si>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</si>
  <si>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</si>
  <si>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</si>
  <si>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</si>
  <si>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</si>
  <si>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</si>
  <si>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</si>
  <si>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</si>
  <si>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</si>
  <si>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</si>
  <si>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</si>
  <si>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</si>
  <si>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</si>
  <si>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</si>
  <si>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</si>
  <si>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</si>
  <si>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</si>
  <si>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</si>
  <si>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</si>
  <si>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</si>
  <si>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</si>
  <si>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</si>
  <si>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</si>
  <si>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</si>
  <si>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</si>
  <si>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</si>
  <si>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</si>
  <si>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</si>
  <si>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</si>
  <si>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</si>
  <si>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</si>
  <si>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</si>
  <si>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</si>
  <si>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</si>
  <si>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</si>
  <si>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</si>
  <si>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</si>
  <si>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</si>
  <si>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</si>
  <si>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</si>
  <si>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</si>
  <si>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</si>
  <si>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</si>
  <si>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</si>
  <si>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</si>
  <si>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</si>
  <si>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</si>
  <si>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</si>
  <si>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</si>
  <si>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</si>
  <si>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</si>
  <si>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</si>
  <si>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</si>
  <si>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</si>
  <si>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</si>
  <si>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</si>
  <si>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</si>
  <si>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</si>
  <si>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</si>
  <si>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</si>
  <si>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</si>
  <si>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</si>
  <si>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</si>
  <si>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</si>
  <si>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</si>
  <si>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</si>
  <si>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</si>
  <si>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</si>
  <si>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</si>
  <si>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</si>
  <si>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</si>
  <si>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</si>
  <si>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</si>
  <si>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</si>
  <si>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</si>
  <si>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</si>
  <si>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</si>
  <si>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</si>
  <si>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</si>
  <si>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</si>
  <si>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</si>
  <si>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</si>
  <si>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</si>
  <si>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</si>
  <si>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</si>
  <si>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</si>
  <si>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</si>
  <si>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</si>
  <si>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</si>
  <si>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</si>
  <si>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</si>
  <si>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</si>
  <si>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</si>
  <si>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</si>
  <si>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</si>
  <si>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</si>
  <si>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</si>
  <si>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</si>
  <si>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</si>
  <si>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</si>
  <si>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</si>
  <si>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</si>
  <si>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</si>
  <si>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</si>
  <si>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</si>
  <si>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</si>
  <si>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</si>
  <si>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</si>
  <si>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</si>
  <si>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</si>
  <si>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</si>
  <si>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</si>
  <si>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</si>
  <si>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</si>
  <si>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</si>
  <si>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</si>
  <si>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</si>
  <si>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</si>
  <si>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</si>
  <si>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</si>
  <si>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</si>
  <si>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</si>
  <si>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</si>
  <si>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</si>
  <si>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</si>
  <si>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</si>
  <si>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</si>
  <si>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</si>
  <si>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</si>
  <si>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</si>
  <si>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</si>
  <si>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</si>
  <si>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</si>
  <si>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</si>
  <si>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</si>
  <si>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</si>
  <si>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</si>
  <si>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</si>
  <si>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</si>
  <si>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</si>
  <si>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</si>
  <si>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</si>
  <si>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</si>
  <si>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</si>
  <si>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</si>
  <si>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</si>
  <si>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</si>
  <si>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</si>
  <si>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</si>
  <si>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</si>
  <si>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</si>
  <si>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</si>
  <si>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</si>
  <si>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</si>
  <si>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</si>
  <si>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</si>
  <si>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</si>
  <si>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</si>
  <si>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</si>
  <si>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</si>
  <si>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</si>
  <si>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</si>
  <si>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</si>
  <si>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</si>
  <si>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</si>
  <si>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</si>
  <si>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</si>
  <si>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</si>
  <si>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</si>
  <si>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</si>
  <si>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</si>
  <si>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</si>
  <si>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</si>
  <si>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</si>
  <si>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</si>
  <si>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</si>
  <si>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</si>
  <si>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</si>
  <si>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</si>
  <si>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</si>
  <si>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</si>
  <si>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</si>
  <si>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</si>
  <si>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</si>
  <si>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</si>
  <si>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</si>
  <si>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</si>
  <si>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</si>
  <si>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</si>
  <si>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</si>
  <si>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</si>
  <si>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</si>
  <si>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</si>
  <si>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</si>
  <si>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</si>
  <si>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</si>
  <si>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</si>
  <si>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</si>
  <si>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</si>
  <si>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</si>
  <si>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</si>
  <si>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</si>
  <si>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</si>
  <si>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</si>
  <si>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</si>
  <si>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</si>
  <si>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</si>
  <si>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</si>
  <si>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</si>
  <si>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</si>
  <si>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</si>
  <si>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</si>
  <si>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</si>
  <si>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</si>
  <si>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</si>
  <si>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</si>
  <si>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</si>
  <si>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</si>
  <si>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</si>
  <si>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</si>
  <si>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</si>
  <si>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</si>
  <si>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</si>
  <si>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</si>
  <si>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</si>
  <si>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</si>
  <si>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</si>
  <si>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</si>
  <si>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</si>
  <si>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</si>
  <si>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</si>
  <si>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</si>
  <si>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</si>
  <si>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</si>
  <si>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</si>
  <si>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</si>
  <si>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</si>
  <si>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</si>
  <si>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</si>
  <si>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</si>
  <si>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</si>
  <si>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</si>
  <si>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</si>
  <si>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</si>
  <si>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</si>
  <si>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</si>
  <si>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</si>
  <si>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</si>
  <si>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</si>
  <si>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</si>
  <si>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</si>
  <si>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</si>
  <si>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</si>
  <si>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</si>
  <si>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</si>
  <si>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</si>
  <si>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</si>
  <si>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</si>
  <si>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</si>
  <si>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</si>
  <si>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</si>
  <si>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</si>
  <si>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</si>
  <si>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</si>
  <si>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</si>
  <si>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</si>
  <si>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</si>
  <si>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</si>
  <si>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</si>
  <si>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</si>
  <si>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</si>
  <si>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</si>
  <si>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</si>
  <si>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</si>
  <si>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</si>
  <si>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</si>
  <si>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</si>
  <si>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</si>
  <si>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</si>
  <si>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</si>
  <si>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</si>
  <si>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</si>
  <si>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</si>
  <si>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</si>
  <si>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</si>
  <si>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</si>
  <si>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</si>
  <si>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</si>
  <si>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</si>
  <si>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</si>
  <si>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</si>
  <si>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</si>
  <si>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</si>
  <si>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</si>
  <si>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</si>
  <si>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</si>
  <si>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</si>
  <si>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</si>
  <si>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</si>
  <si>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</si>
  <si>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</si>
  <si>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</si>
  <si>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</si>
  <si>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</si>
  <si>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</si>
  <si>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</si>
  <si>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</si>
  <si>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</si>
  <si>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</si>
  <si>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</si>
  <si>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</si>
  <si>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</si>
  <si>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</si>
  <si>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</si>
  <si>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</si>
  <si>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</si>
  <si>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</si>
  <si>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</si>
  <si>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</si>
  <si>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</si>
  <si>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</si>
  <si>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</si>
  <si>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</si>
  <si>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</si>
  <si>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</si>
  <si>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</si>
  <si>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</si>
  <si>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</si>
  <si>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</si>
  <si>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</si>
  <si>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</si>
  <si>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</si>
  <si>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</si>
  <si>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</si>
  <si>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</si>
  <si>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</si>
  <si>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</si>
  <si>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</si>
  <si>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</si>
  <si>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</si>
  <si>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</si>
  <si>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</si>
  <si>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</si>
  <si>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</si>
  <si>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</si>
  <si>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</si>
  <si>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</si>
  <si>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</si>
  <si>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</si>
  <si>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</si>
  <si>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</si>
  <si>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</si>
  <si>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</si>
  <si>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</si>
  <si>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</si>
  <si>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</si>
  <si>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</si>
  <si>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</si>
  <si>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</si>
  <si>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</si>
  <si>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</si>
  <si>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</si>
  <si>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</si>
  <si>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</si>
  <si>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</si>
  <si>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</si>
  <si>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</si>
  <si>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</si>
  <si>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</si>
  <si>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</si>
  <si>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</si>
  <si>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</si>
  <si>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</si>
  <si>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</si>
  <si>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</si>
  <si>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</si>
  <si>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</si>
  <si>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</si>
  <si>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</si>
  <si>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</si>
  <si>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</si>
  <si>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</si>
  <si>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</si>
  <si>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</si>
  <si>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</si>
  <si>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</si>
  <si>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</si>
  <si>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</si>
  <si>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</si>
  <si>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</si>
  <si>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</si>
  <si>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</si>
  <si>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</si>
  <si>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</si>
  <si>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</si>
  <si>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</si>
  <si>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</si>
  <si>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</si>
  <si>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</si>
  <si>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</si>
  <si>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</si>
  <si>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</si>
  <si>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</si>
  <si>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</si>
  <si>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</si>
  <si>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</si>
  <si>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</si>
  <si>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</si>
  <si>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</si>
  <si>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</si>
  <si>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</si>
  <si>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</si>
  <si>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</si>
  <si>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</si>
  <si>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</si>
  <si>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</si>
  <si>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</si>
  <si>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</si>
  <si>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</si>
  <si>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</si>
  <si>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</si>
  <si>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</si>
  <si>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</si>
  <si>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</si>
  <si>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</si>
  <si>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</si>
  <si>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</si>
  <si>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</si>
  <si>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</si>
  <si>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</si>
  <si>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</si>
  <si>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</si>
  <si>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</si>
  <si>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</si>
  <si>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</si>
  <si>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</si>
  <si>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</si>
  <si>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</si>
  <si>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</si>
  <si>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</si>
  <si>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</si>
  <si>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</si>
  <si>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</si>
  <si>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</si>
  <si>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</si>
  <si>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</si>
  <si>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</si>
  <si>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</si>
  <si>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</si>
  <si>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</si>
  <si>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</si>
  <si>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</si>
  <si>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</si>
  <si>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</si>
  <si>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</si>
  <si>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</si>
  <si>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</si>
  <si>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</si>
  <si>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</si>
  <si>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</si>
  <si>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</si>
  <si>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</si>
  <si>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</si>
  <si>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</si>
  <si>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</si>
  <si>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</si>
  <si>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</si>
  <si>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</si>
  <si>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</si>
  <si>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</si>
  <si>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</si>
  <si>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</si>
  <si>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</si>
  <si>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</si>
  <si>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</si>
  <si>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</si>
  <si>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</si>
  <si>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</si>
  <si>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</si>
  <si>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</si>
  <si>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</si>
  <si>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</si>
  <si>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</si>
  <si>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</si>
  <si>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</si>
  <si>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</si>
  <si>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</si>
  <si>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</si>
  <si>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</si>
  <si>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</si>
  <si>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</si>
  <si>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</si>
  <si>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</si>
  <si>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</si>
  <si>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</si>
  <si>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</si>
  <si>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</si>
  <si>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</si>
  <si>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</si>
  <si>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</si>
  <si>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</si>
  <si>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</si>
  <si>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</si>
  <si>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</si>
  <si>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</si>
  <si>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</si>
  <si>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</si>
  <si>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</si>
  <si>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</si>
  <si>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</si>
  <si>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</si>
  <si>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</si>
  <si>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</si>
  <si>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</si>
  <si>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</si>
  <si>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</si>
  <si>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</si>
  <si>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</si>
  <si>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</si>
  <si>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</si>
  <si>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</si>
  <si>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</si>
  <si>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</si>
  <si>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</si>
  <si>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</si>
  <si>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</si>
  <si>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</si>
  <si>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</si>
  <si>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</si>
  <si>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</si>
  <si>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</si>
  <si>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</si>
  <si>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</si>
  <si>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</si>
  <si>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</si>
  <si>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</si>
  <si>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</si>
  <si>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</si>
  <si>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</si>
  <si>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</si>
  <si>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</si>
  <si>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</si>
  <si>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</si>
  <si>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</si>
  <si>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</si>
  <si>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</si>
  <si>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</si>
  <si>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</si>
  <si>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</si>
  <si>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</si>
  <si>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</si>
  <si>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</si>
  <si>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</si>
  <si>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</si>
  <si>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</si>
  <si>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</si>
  <si>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</si>
  <si>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</si>
  <si>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</si>
  <si>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</si>
  <si>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</si>
  <si>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</si>
  <si>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</si>
  <si>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</si>
  <si>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</si>
  <si>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</si>
  <si>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</si>
  <si>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</si>
  <si>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</si>
  <si>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</si>
  <si>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</si>
  <si>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</si>
  <si>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</si>
  <si>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</si>
  <si>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</si>
  <si>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</si>
  <si>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</si>
  <si>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</si>
  <si>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</si>
  <si>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</si>
  <si>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</si>
  <si>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</si>
  <si>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</si>
  <si>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</si>
  <si>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</si>
  <si>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</si>
  <si>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</si>
  <si>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</si>
  <si>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</si>
  <si>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</si>
  <si>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</si>
  <si>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</si>
  <si>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</si>
  <si>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</si>
  <si>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</si>
  <si>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</si>
  <si>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</si>
  <si>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</si>
  <si>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</si>
  <si>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</si>
  <si>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</si>
  <si>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</si>
  <si>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</si>
  <si>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</si>
  <si>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</si>
  <si>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</si>
  <si>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</si>
  <si>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</si>
  <si>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</si>
  <si>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</si>
  <si>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</si>
  <si>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</si>
  <si>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</si>
  <si>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</si>
  <si>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</si>
  <si>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</si>
  <si>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</si>
  <si>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</si>
  <si>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</si>
  <si>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</si>
  <si>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</si>
  <si>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</si>
  <si>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</si>
  <si>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</si>
  <si>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</si>
  <si>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</si>
  <si>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</si>
  <si>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</si>
  <si>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</si>
  <si>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</si>
  <si>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</si>
  <si>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</si>
  <si>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</si>
  <si>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</si>
  <si>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</si>
  <si>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</si>
  <si>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</si>
  <si>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</si>
  <si>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</si>
  <si>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</si>
  <si>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</si>
  <si>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</si>
  <si>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</si>
  <si>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</si>
  <si>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</si>
  <si>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</si>
  <si>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</si>
  <si>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</si>
  <si>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</si>
  <si>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</si>
  <si>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</si>
  <si>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</si>
  <si>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</si>
  <si>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</si>
  <si>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</si>
  <si>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</si>
  <si>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</si>
  <si>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</si>
  <si>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</si>
  <si>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</si>
  <si>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</si>
  <si>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</si>
  <si>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</si>
  <si>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</si>
  <si>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</si>
  <si>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</si>
  <si>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</si>
  <si>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</si>
  <si>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</si>
  <si>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</si>
  <si>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</si>
  <si>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</si>
  <si>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</si>
  <si>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</si>
  <si>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</si>
  <si>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</si>
  <si>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</si>
  <si>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</si>
  <si>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</si>
  <si>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</si>
  <si>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</si>
  <si>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</si>
  <si>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</si>
  <si>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</si>
  <si>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</si>
  <si>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</si>
  <si>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</si>
  <si>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</si>
  <si>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</si>
  <si>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</si>
  <si>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</si>
  <si>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</si>
  <si>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</si>
  <si>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</si>
  <si>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</si>
  <si>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</si>
  <si>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</si>
  <si>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</si>
  <si>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</si>
  <si>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</si>
  <si>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</si>
  <si>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</si>
  <si>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</si>
  <si>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</si>
  <si>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</si>
  <si>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</si>
  <si>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</si>
  <si>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</si>
  <si>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</si>
  <si>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</si>
  <si>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</si>
  <si>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</si>
  <si>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</si>
  <si>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</si>
  <si>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</si>
  <si>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</si>
  <si>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</si>
  <si>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</si>
  <si>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</si>
  <si>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</si>
  <si>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</si>
  <si>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</si>
  <si>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</si>
  <si>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</si>
  <si>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</si>
  <si>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</si>
  <si>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</si>
  <si>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</si>
  <si>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</si>
  <si>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</si>
  <si>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</si>
  <si>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</si>
  <si>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</si>
  <si>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</si>
  <si>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</si>
  <si>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</si>
  <si>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</si>
  <si>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</si>
  <si>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</si>
  <si>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</si>
  <si>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</si>
  <si>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</si>
  <si>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</si>
  <si>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</si>
  <si>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</si>
  <si>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</si>
  <si>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</si>
  <si>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</si>
  <si>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</si>
  <si>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</si>
  <si>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</si>
  <si>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</si>
  <si>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</si>
  <si>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</si>
  <si>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</si>
  <si>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</si>
  <si>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</si>
  <si>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</si>
  <si>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</si>
  <si>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</si>
  <si>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</si>
  <si>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</si>
  <si>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</si>
  <si>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</si>
  <si>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</si>
  <si>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</si>
  <si>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</si>
  <si>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</si>
  <si>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</si>
  <si>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</si>
  <si>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</si>
  <si>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</si>
  <si>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</si>
  <si>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</si>
  <si>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</si>
  <si>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</si>
  <si>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</si>
  <si>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</si>
  <si>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</si>
  <si>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</si>
  <si>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</si>
  <si>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</si>
  <si>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</si>
  <si>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</si>
  <si>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</si>
  <si>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</si>
  <si>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</si>
  <si>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</si>
  <si>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</si>
  <si>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</si>
  <si>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</si>
  <si>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</si>
  <si>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</si>
  <si>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</si>
  <si>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</si>
  <si>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</si>
  <si>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</si>
  <si>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</si>
  <si>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</si>
  <si>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</si>
  <si>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</si>
  <si>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</si>
  <si>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</si>
  <si>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</si>
  <si>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</si>
  <si>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</si>
  <si>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</si>
  <si>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</si>
  <si>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</si>
  <si>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</si>
  <si>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</si>
  <si>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</si>
  <si>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</si>
  <si>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</si>
  <si>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</si>
  <si>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</si>
  <si>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</si>
  <si>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</si>
  <si>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</si>
  <si>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</si>
  <si>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</si>
  <si>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</si>
  <si>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</si>
  <si>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</si>
  <si>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</si>
  <si>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</si>
  <si>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</si>
  <si>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</si>
  <si>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</si>
  <si>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</si>
  <si>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</si>
  <si>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</si>
  <si>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</si>
  <si>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</si>
  <si>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</si>
  <si>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</si>
  <si>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</si>
  <si>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</si>
  <si>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</si>
  <si>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</si>
  <si>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</si>
  <si>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</si>
  <si>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</si>
  <si>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</si>
  <si>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</si>
  <si>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</si>
  <si>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</si>
  <si>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</si>
  <si>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</si>
  <si>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</si>
  <si>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</si>
  <si>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</si>
  <si>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</si>
  <si>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</si>
  <si>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</si>
  <si>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</si>
  <si>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</si>
  <si>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</si>
  <si>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</si>
  <si>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</si>
  <si>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</si>
  <si>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</si>
  <si>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</si>
  <si>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</si>
  <si>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</si>
  <si>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</si>
  <si>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</si>
  <si>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</si>
  <si>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</si>
  <si>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</si>
  <si>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</si>
  <si>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</si>
  <si>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</si>
  <si>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</si>
  <si>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</si>
  <si>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</si>
  <si>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</si>
  <si>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</si>
  <si>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</si>
  <si>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Green Dot Marketing 2025</t>
  </si>
  <si>
    <t>QUO-01873-M1X4L7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</si>
</sst>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13" activePane="bottomLeft" state="frozen"/>
      <selection activeCell="G20" sqref="G20"/>
      <selection pane="bottomLeft" activeCell="C25" sqref="C25"/>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3692</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38" activePane="bottomLeft" state="frozen"/>
      <selection activeCell="G20" sqref="G20"/>
      <selection pane="bottomLeft" activeCell="Y55" sqref="Y5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997395</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0.58280428841706955</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Green Dot Marketing 2025</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t="s">
        <v>269</v>
      </c>
      <c r="D54" s="1187" t="s">
        <v>262</v>
      </c>
      <c r="E54" s="1187" t="str">
        <f>IFERROR(_xlfn.XLOOKUP(D54,TADIndia,'Rates &amp; Drop Downs INT'!$CH$6:$CH$747),"")</f>
        <v>Adobe</v>
      </c>
      <c r="F54" s="1187" t="s">
        <v>1209</v>
      </c>
      <c r="G54" s="1187" t="str">
        <f>IFERROR(_xlfn.XLOOKUP(F54,'Rates &amp; Drop Downs INT'!$CI$6:$CI$747,'Rates &amp; Drop Downs INT'!$CJ$6:$CJ$747),"")</f>
        <v>Adobe_UI</v>
      </c>
      <c r="H54" s="1187" t="str">
        <f>_xlfn.XLOOKUP(F54,'Rates &amp; Drop Downs INT'!$DF$6:$DF$173,'Rates &amp; Drop Downs INT'!$DG$6:$DG$173,"")</f>
        <v>ADOBEUISP</v>
      </c>
      <c r="I54" s="1187"/>
      <c r="J54" s="1188"/>
      <c r="K54" s="1682" t="s">
        <v>534</v>
      </c>
      <c r="L54" s="1683"/>
      <c r="M54" s="1684"/>
      <c r="N54" s="1190" cm="1">
        <f t="array" ref="N54">IF($E$20="Credera US",V54,SUMPRODUCT(('Rates &amp; Drop Downs INT'!$CG$6:$CG$747=$D54)*('Rates &amp; Drop Downs INT'!$CI$6:$CI$747=$F54)*('Rates &amp; Drop Downs INT'!$CK$6:$CK$747=$K54)*('Rates &amp; Drop Downs INT'!$CM$6:$CM$747)))</f>
        <v>2</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f>IFERROR(IF(ISBLANK(K54)," ",_xlfn.XLOOKUP(K54,'Rates &amp; Drop Downs INT'!C:C,'Rates &amp; Drop Downs INT'!J:J)),N54)</f>
        <v>0</v>
      </c>
      <c r="W54" s="1203" t="str">
        <f t="shared" si="0"/>
        <v>Offshore</v>
      </c>
      <c r="X54" s="1203"/>
      <c r="Y54" s="880">
        <v>40</v>
      </c>
      <c r="Z54" s="1187"/>
      <c r="AA54" s="1190"/>
      <c r="AB54" s="1274"/>
      <c r="AC54" s="1690"/>
      <c r="AD54" s="1691"/>
      <c r="AE54" s="881"/>
      <c r="AF54" s="892"/>
      <c r="AH54" s="1685"/>
      <c r="AI54" s="1685"/>
      <c r="CM54" s="425"/>
    </row>
    <row r="55" spans="3:91" ht="16.05" customHeight="1" x14ac:dyDescent="0.25">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2" t="s">
        <v>444</v>
      </c>
      <c r="L55" s="1683"/>
      <c r="M55" s="1684"/>
      <c r="N55" s="1190" cm="1">
        <f t="array" ref="N55">IF($E$20="Credera US",V55,SUMPRODUCT(('Rates &amp; Drop Downs INT'!$CG$6:$CG$747=$D55)*('Rates &amp; Drop Downs INT'!$CI$6:$CI$747=$F55)*('Rates &amp; Drop Downs INT'!$CK$6:$CK$747=$K55)*('Rates &amp; Drop Downs INT'!$CM$6:$CM$747)))</f>
        <v>5</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f>IFERROR(IF(ISBLANK(K55)," ",_xlfn.XLOOKUP(K55,'Rates &amp; Drop Downs INT'!C:C,'Rates &amp; Drop Downs INT'!J:J)),N55)</f>
        <v>0</v>
      </c>
      <c r="W55" s="1203" t="str">
        <f t="shared" si="0"/>
        <v>Offshore</v>
      </c>
      <c r="X55" s="1203"/>
      <c r="Y55" s="880">
        <v>20</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252</v>
      </c>
      <c r="G169" s="1321"/>
      <c r="H169" s="1321"/>
      <c r="I169" s="1321">
        <f>SUM(I170:I269)</f>
        <v>252</v>
      </c>
      <c r="J169" s="1321"/>
      <c r="K169" s="1321">
        <f>SUM(K170:K269)</f>
        <v>252</v>
      </c>
      <c r="L169" s="1321">
        <f t="shared" ref="L169:AB169" si="75">SUM(L170:L269)</f>
        <v>252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Sr. Developer</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2.985781990521327E-2</v>
      </c>
      <c r="G272" s="1569" t="str">
        <f>IF(G169=0," ",(SUM($D$169:G169))/$M$289)</f>
        <v xml:space="preserve"> </v>
      </c>
      <c r="H272" s="1569"/>
      <c r="I272" s="1569">
        <f>IF(I169=0," ",(SUM($D$169:I169))/$M$289)</f>
        <v>5.9715639810426539E-2</v>
      </c>
      <c r="J272" s="1569" t="str">
        <f>IF(J169=0," ",(SUM($D$169:J169))/$M$289)</f>
        <v xml:space="preserve"> </v>
      </c>
      <c r="K272" s="1569">
        <f>IF(K169=0," ",(SUM($D$169:K169))/$M$289)</f>
        <v>8.9573459715639805E-2</v>
      </c>
      <c r="L272" s="1569">
        <f>IF(L169=0," ",(SUM($D$169:L169))/$M$289)</f>
        <v>0.11943127962085308</v>
      </c>
      <c r="M272" s="1569">
        <f>IF(M169=0," ",(SUM($D$169:M169))/$M$289)</f>
        <v>0.15402843601895735</v>
      </c>
      <c r="N272" s="1569">
        <f>IF(N169=0," ",(SUM($D$169:N169))/$M$289)</f>
        <v>0.18862559241706162</v>
      </c>
      <c r="O272" s="1569">
        <f>IF(O169=0," ",(SUM($D$169:O169))/$M$289)</f>
        <v>0.22322274881516588</v>
      </c>
      <c r="P272" s="1569">
        <f>IF(P169=0," ",(SUM($D$169:P169))/$M$289)</f>
        <v>0.25781990521327014</v>
      </c>
      <c r="Q272" s="1569">
        <f>IF(Q169=0," ",(SUM($D$169:Q169))/$M$289)</f>
        <v>0.29241706161137443</v>
      </c>
      <c r="R272" s="1569">
        <f>IF(R169=0," ",(SUM($D$169:R169))/$M$289)</f>
        <v>0.32701421800947866</v>
      </c>
      <c r="S272" s="1569">
        <f>IF(S169=0," ",(SUM($D$169:S169))/$M$289)</f>
        <v>0.36161137440758295</v>
      </c>
      <c r="T272" s="1569">
        <f>IF(T169=0," ",(SUM($D$169:T169))/$M$289)</f>
        <v>0.39620853080568719</v>
      </c>
      <c r="U272" s="1569">
        <f>IF(U169=0," ",(SUM($D$169:U169))/$M$289)</f>
        <v>0.43080568720379148</v>
      </c>
      <c r="V272" s="1569" t="str">
        <f>IF(V169=0," ",(SUM($D$169:V169))/$M$289)</f>
        <v xml:space="preserve"> </v>
      </c>
      <c r="W272" s="1569" t="str">
        <f>IF(W169=0," ",(SUM($D$169:W169))/$M$289)</f>
        <v xml:space="preserve"> </v>
      </c>
      <c r="X272" s="1569"/>
      <c r="Y272" s="1569">
        <f>IF(Y169=0," ",(SUM($D$169:Y169))/$M$289)</f>
        <v>0.46066350710900472</v>
      </c>
      <c r="Z272" s="1569">
        <f>IF(Z169=0," ",(SUM($D$169:Z169))/$M$289)</f>
        <v>0.49052132701421802</v>
      </c>
      <c r="AA272" s="711">
        <f>IF(AA169=0," ",(SUM($D$169:AA169))/$M$289)</f>
        <v>0.52037914691943132</v>
      </c>
      <c r="AB272" s="711">
        <f>IF(AB169=0," ",(SUM($D$169:AB169))/$M$289)</f>
        <v>0.55023696682464451</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0.58483412322274886</v>
      </c>
      <c r="AH272" s="711">
        <f>IF(AH169=0," ",(SUM($D$169:AH169))/$M$289)</f>
        <v>0.61943127962085309</v>
      </c>
      <c r="AI272" s="711">
        <f>IF(AI169=0," ",(SUM($D$169:AI169))/$M$289)</f>
        <v>0.65402843601895733</v>
      </c>
      <c r="AJ272" s="711">
        <f>IF(AJ169=0," ",(SUM($D$169:AJ169))/$M$289)</f>
        <v>0.68862559241706156</v>
      </c>
      <c r="AK272" s="711">
        <f>IF(AK169=0," ",(SUM($D$169:AK169))/$M$289)</f>
        <v>0.72322274881516591</v>
      </c>
      <c r="AL272" s="711">
        <f>IF(AL169=0," ",(SUM($D$169:AL169))/$M$289)</f>
        <v>0.75781990521327014</v>
      </c>
      <c r="AM272" s="711">
        <f>IF(AM169=0," ",(SUM($D$169:AM169))/$M$289)</f>
        <v>0.79241706161137437</v>
      </c>
      <c r="AN272" s="711">
        <f>IF(AN169=0," ",(SUM($D$169:AN169))/$M$289)</f>
        <v>0.82701421800947872</v>
      </c>
      <c r="AO272" s="711">
        <f>IF(AO169=0," ",(SUM($D$169:AO169))/$M$289)</f>
        <v>0.86161137440758295</v>
      </c>
      <c r="AP272" s="711">
        <f>IF(AP169=0," ",(SUM($D$169:AP169))/$M$289)</f>
        <v>0.89620853080568719</v>
      </c>
      <c r="AQ272" s="711">
        <f>IF(AQ169=0," ",(SUM($D$169:AQ169))/$M$289)</f>
        <v>0.93080568720379142</v>
      </c>
      <c r="AR272" s="711">
        <f>IF(AR169=0," ",(SUM($D$169:AR169))/$M$289)</f>
        <v>0.96540284360189577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0.56022271714922045</v>
      </c>
      <c r="E288" s="520"/>
      <c r="F288" s="521"/>
      <c r="G288" s="1211"/>
      <c r="H288" s="1211"/>
      <c r="J288" s="1211"/>
    </row>
    <row r="289" spans="2:16" ht="25.95" customHeight="1" x14ac:dyDescent="0.25">
      <c r="B289" s="555"/>
      <c r="C289" s="907" t="s">
        <v>2197</v>
      </c>
      <c r="D289" s="908">
        <f>SUM(D291:D390)</f>
        <v>898000</v>
      </c>
      <c r="E289" s="908"/>
      <c r="F289" s="908">
        <f>SUM(F291:F390)</f>
        <v>394920</v>
      </c>
      <c r="G289" s="398"/>
      <c r="H289" s="398"/>
      <c r="K289" s="714"/>
      <c r="M289" s="1349">
        <f>SUM(M291:M346)</f>
        <v>8440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Sr. Developer</v>
      </c>
      <c r="D297" s="918">
        <f t="shared" si="89"/>
        <v>78000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27000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Delivery Manager</v>
      </c>
      <c r="D298" s="918">
        <f t="shared" si="89"/>
        <v>54000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24000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3" zoomScale="80" zoomScaleNormal="80" workbookViewId="0">
      <selection activeCell="H9" sqref="H9"/>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 CDP</v>
      </c>
      <c r="D16" s="193" t="str">
        <f t="shared" ref="D16:D33" si="47">G16&amp;"__"&amp;H16&amp;"__"&amp;I16</f>
        <v>Acquia__Acquia CDP__Acquia CDP</v>
      </c>
      <c r="E16" s="193">
        <v>21</v>
      </c>
      <c r="F16" s="193">
        <v>8</v>
      </c>
      <c r="G16" s="194" t="str">
        <f>'2. Roles &amp; Pricing'!D48</f>
        <v>Acquia</v>
      </c>
      <c r="H16" s="194" t="str">
        <f>'2. Roles &amp; Pricing'!F48</f>
        <v>Acquia CDP</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 CDP</v>
      </c>
      <c r="D17" s="207" t="str">
        <f t="shared" si="47"/>
        <v>Acquia__Acquia CDP__Acquia CDP</v>
      </c>
      <c r="E17" s="207">
        <v>21</v>
      </c>
      <c r="F17" s="207">
        <v>8</v>
      </c>
      <c r="G17" s="208" t="str">
        <f>'2. Roles &amp; Pricing'!D49</f>
        <v>Acquia</v>
      </c>
      <c r="H17" s="194" t="str">
        <f>'2. Roles &amp; Pricing'!F49</f>
        <v>Acquia CDP</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Experience Design__Design</v>
      </c>
      <c r="D18" s="207" t="str">
        <f t="shared" si="47"/>
        <v>Experience Design__Design__Design</v>
      </c>
      <c r="E18" s="207">
        <v>20</v>
      </c>
      <c r="F18" s="207">
        <v>10</v>
      </c>
      <c r="G18" s="208" t="str">
        <f>'2. Roles &amp; Pricing'!D50</f>
        <v>Experience Design</v>
      </c>
      <c r="H18" s="194" t="str">
        <f>'2. Roles &amp; Pricing'!F50</f>
        <v>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1" thickBot="1" x14ac:dyDescent="0.35">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1" thickBot="1" x14ac:dyDescent="0.35">
      <c r="A20" s="205">
        <v>5</v>
      </c>
      <c r="B20" s="206">
        <v>3</v>
      </c>
      <c r="C20" s="207" t="str">
        <f t="shared" si="46"/>
        <v>Adobe__Adobe UI</v>
      </c>
      <c r="D20" s="207" t="str">
        <f t="shared" si="47"/>
        <v>Adobe__Adobe UI__Adobe UI</v>
      </c>
      <c r="E20" s="207">
        <v>21</v>
      </c>
      <c r="F20" s="207">
        <v>8</v>
      </c>
      <c r="G20" s="208" t="str">
        <f>'2. Roles &amp; Pricing'!D52</f>
        <v>Adobe</v>
      </c>
      <c r="H20" s="194" t="str">
        <f>'2. Roles &amp; Pricing'!F52</f>
        <v>Adobe UI</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 DevOps</v>
      </c>
      <c r="D21" s="207" t="str">
        <f t="shared" si="47"/>
        <v>MACH__MACH DevOps__MACH DevOps</v>
      </c>
      <c r="E21" s="207">
        <v>21</v>
      </c>
      <c r="F21" s="207">
        <v>8</v>
      </c>
      <c r="G21" s="208" t="str">
        <f>'2. Roles &amp; Pricing'!D53</f>
        <v>MACH</v>
      </c>
      <c r="H21" s="194" t="str">
        <f>'2. Roles &amp; Pricing'!F53</f>
        <v>MACH DevOps</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Adobe__Adobe UI</v>
      </c>
      <c r="D22" s="207" t="str">
        <f t="shared" si="47"/>
        <v>Adobe__Adobe UI__Adobe UI</v>
      </c>
      <c r="E22" s="207">
        <v>21</v>
      </c>
      <c r="F22" s="207">
        <v>8</v>
      </c>
      <c r="G22" s="208" t="str">
        <f>'2. Roles &amp; Pricing'!D54</f>
        <v>Adobe</v>
      </c>
      <c r="H22" s="194" t="str">
        <f>'2. Roles &amp; Pricing'!F54</f>
        <v>Adobe UI</v>
      </c>
      <c r="I22" s="210" t="str">
        <f>'2. Roles &amp; Pricing'!F54</f>
        <v>Adobe UI</v>
      </c>
      <c r="J22" s="210" t="str">
        <f>'2. Roles &amp; Pricing'!K54</f>
        <v>Sr. Developer</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27000</v>
      </c>
      <c r="BR22" s="623">
        <f>'2. Roles &amp; Pricing'!F297</f>
        <v>27000</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1" thickBot="1" x14ac:dyDescent="0.35">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24000</v>
      </c>
      <c r="BR23" s="623">
        <f>'2. Roles &amp; Pricing'!F298</f>
        <v>24000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211</v>
      </c>
      <c r="BO34" s="250">
        <f>SUM(BO16:BO33)</f>
        <v>1055</v>
      </c>
      <c r="BP34" s="251">
        <f>SUM(BP16:BP33)</f>
        <v>898000</v>
      </c>
      <c r="BQ34" s="199">
        <f>'2. Roles &amp; Pricing'!F309</f>
        <v>0</v>
      </c>
      <c r="BR34" s="252"/>
      <c r="BS34" s="253"/>
      <c r="BT34" s="254">
        <f>SUM(BT16:BT33)</f>
        <v>898000</v>
      </c>
      <c r="BU34" s="255">
        <f>SUM(BU16:BU33)</f>
        <v>8440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898000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28320</v>
      </c>
      <c r="O38" s="275">
        <f t="shared" si="52"/>
        <v>28320</v>
      </c>
      <c r="P38" s="276">
        <f t="shared" si="52"/>
        <v>28320</v>
      </c>
      <c r="Q38" s="277">
        <f t="shared" si="52"/>
        <v>28320</v>
      </c>
      <c r="R38" s="278">
        <f t="shared" si="52"/>
        <v>30520</v>
      </c>
      <c r="S38" s="277">
        <f t="shared" si="52"/>
        <v>30520</v>
      </c>
      <c r="T38" s="278">
        <f t="shared" si="52"/>
        <v>30520</v>
      </c>
      <c r="U38" s="277">
        <f t="shared" si="52"/>
        <v>30520</v>
      </c>
      <c r="V38" s="278">
        <f t="shared" si="52"/>
        <v>30520</v>
      </c>
      <c r="W38" s="277">
        <f t="shared" si="52"/>
        <v>30520</v>
      </c>
      <c r="X38" s="278">
        <f t="shared" si="52"/>
        <v>30520</v>
      </c>
      <c r="Y38" s="277">
        <f t="shared" si="52"/>
        <v>30520</v>
      </c>
      <c r="Z38" s="278">
        <f t="shared" si="52"/>
        <v>30520</v>
      </c>
      <c r="AA38" s="277">
        <f t="shared" si="52"/>
        <v>28320</v>
      </c>
      <c r="AB38" s="278">
        <f t="shared" si="52"/>
        <v>28320</v>
      </c>
      <c r="AC38" s="277">
        <f t="shared" si="52"/>
        <v>28320</v>
      </c>
      <c r="AD38" s="278">
        <f t="shared" si="52"/>
        <v>28320</v>
      </c>
      <c r="AE38" s="277">
        <f t="shared" si="52"/>
        <v>30520</v>
      </c>
      <c r="AF38" s="278">
        <f t="shared" si="52"/>
        <v>30520</v>
      </c>
      <c r="AG38" s="277">
        <f t="shared" si="52"/>
        <v>30520</v>
      </c>
      <c r="AH38" s="277">
        <f t="shared" si="52"/>
        <v>30520</v>
      </c>
      <c r="AI38" s="278">
        <f t="shared" si="52"/>
        <v>30520</v>
      </c>
      <c r="AJ38" s="277">
        <f t="shared" si="52"/>
        <v>30520</v>
      </c>
      <c r="AK38" s="278">
        <f t="shared" si="52"/>
        <v>30520</v>
      </c>
      <c r="AL38" s="277">
        <f t="shared" si="52"/>
        <v>30520</v>
      </c>
      <c r="AM38" s="278">
        <f t="shared" si="52"/>
        <v>30520</v>
      </c>
      <c r="AN38" s="277">
        <f t="shared" si="52"/>
        <v>30520</v>
      </c>
      <c r="AO38" s="278">
        <f t="shared" si="52"/>
        <v>30520</v>
      </c>
      <c r="AP38" s="277">
        <f t="shared" si="52"/>
        <v>30520</v>
      </c>
      <c r="AQ38" s="278">
        <f t="shared" si="52"/>
        <v>30520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1257200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28320</v>
      </c>
      <c r="O39" s="1785">
        <f>SUM(O38:Q38)</f>
        <v>84960</v>
      </c>
      <c r="P39" s="1786"/>
      <c r="Q39" s="1787"/>
      <c r="R39" s="1788">
        <f>SUM(R38:S38)</f>
        <v>61040</v>
      </c>
      <c r="S39" s="1789"/>
      <c r="T39" s="1785">
        <f>SUM(T38:U38)</f>
        <v>61040</v>
      </c>
      <c r="U39" s="1787"/>
      <c r="V39" s="1788">
        <f>SUM(V38:AS38)</f>
        <v>662640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1077600</v>
      </c>
      <c r="BR39" s="141"/>
      <c r="BS39" s="284" t="s">
        <v>2031</v>
      </c>
      <c r="BT39" s="285">
        <f>BP37-BP36</f>
        <v>898000</v>
      </c>
      <c r="BU39" s="286">
        <f>(BT39-BQ34)/BT39</f>
        <v>1</v>
      </c>
      <c r="BV39" s="285">
        <f>BT39/BU34</f>
        <v>106.39810426540285</v>
      </c>
    </row>
    <row r="40" spans="1:94" s="140" customFormat="1" ht="14.4" thickBot="1" x14ac:dyDescent="0.3">
      <c r="A40" s="141"/>
      <c r="B40" s="262"/>
      <c r="C40" s="262"/>
      <c r="D40" s="262"/>
      <c r="E40" s="262"/>
      <c r="F40" s="262"/>
      <c r="J40" s="287" t="s">
        <v>2032</v>
      </c>
      <c r="K40" s="147"/>
      <c r="N40" s="1791">
        <f>SUM(N38:Q38)</f>
        <v>113280</v>
      </c>
      <c r="O40" s="1792"/>
      <c r="P40" s="1792"/>
      <c r="Q40" s="1792"/>
      <c r="R40" s="1793">
        <f>SUM(R38:U38)</f>
        <v>122080</v>
      </c>
      <c r="S40" s="1794"/>
      <c r="T40" s="1794"/>
      <c r="U40" s="1794"/>
      <c r="V40" s="1791">
        <f>SUM(V38:BE38)</f>
        <v>662640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1167400</v>
      </c>
      <c r="BR40" s="141"/>
      <c r="BS40" s="289" t="s">
        <v>2034</v>
      </c>
      <c r="BT40" s="290">
        <f>BT34-BT36</f>
        <v>898000</v>
      </c>
      <c r="BU40" s="291">
        <f>(BT40-BQ34)/BT40</f>
        <v>1</v>
      </c>
      <c r="BV40" s="290">
        <f>BT40/BU34</f>
        <v>106.39810426540285</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898000</v>
      </c>
      <c r="BQ42" s="294" t="s">
        <v>2039</v>
      </c>
      <c r="BR42" s="141"/>
    </row>
    <row r="43" spans="1:94" x14ac:dyDescent="0.25">
      <c r="J43" s="273" t="s">
        <v>180</v>
      </c>
      <c r="N43" s="274">
        <f t="shared" ref="N43:AS43" si="54">SUMPRODUCT(N16:N33,$BS$16:$BS$33)*40*1.2</f>
        <v>33984</v>
      </c>
      <c r="O43" s="278">
        <f t="shared" si="54"/>
        <v>33984</v>
      </c>
      <c r="P43" s="276">
        <f t="shared" si="54"/>
        <v>33984</v>
      </c>
      <c r="Q43" s="277">
        <f t="shared" si="54"/>
        <v>33984</v>
      </c>
      <c r="R43" s="278">
        <f t="shared" si="54"/>
        <v>36624</v>
      </c>
      <c r="S43" s="277">
        <f t="shared" si="54"/>
        <v>36624</v>
      </c>
      <c r="T43" s="278">
        <f t="shared" si="54"/>
        <v>36624</v>
      </c>
      <c r="U43" s="277">
        <f t="shared" si="54"/>
        <v>36624</v>
      </c>
      <c r="V43" s="278">
        <f t="shared" si="54"/>
        <v>36624</v>
      </c>
      <c r="W43" s="277">
        <f t="shared" si="54"/>
        <v>36624</v>
      </c>
      <c r="X43" s="278">
        <f t="shared" si="54"/>
        <v>36624</v>
      </c>
      <c r="Y43" s="277">
        <f t="shared" si="54"/>
        <v>36624</v>
      </c>
      <c r="Z43" s="278">
        <f t="shared" si="54"/>
        <v>36624</v>
      </c>
      <c r="AA43" s="277">
        <f t="shared" si="54"/>
        <v>33984</v>
      </c>
      <c r="AB43" s="278">
        <f t="shared" si="54"/>
        <v>33984</v>
      </c>
      <c r="AC43" s="277">
        <f t="shared" si="54"/>
        <v>33984</v>
      </c>
      <c r="AD43" s="278">
        <f t="shared" si="54"/>
        <v>33984</v>
      </c>
      <c r="AE43" s="277">
        <f t="shared" si="54"/>
        <v>36624</v>
      </c>
      <c r="AF43" s="278">
        <f t="shared" si="54"/>
        <v>36624</v>
      </c>
      <c r="AG43" s="277">
        <f t="shared" si="54"/>
        <v>36624</v>
      </c>
      <c r="AH43" s="277">
        <f t="shared" si="54"/>
        <v>36624</v>
      </c>
      <c r="AI43" s="278">
        <f t="shared" si="54"/>
        <v>36624</v>
      </c>
      <c r="AJ43" s="277">
        <f t="shared" si="54"/>
        <v>36624</v>
      </c>
      <c r="AK43" s="278">
        <f t="shared" si="54"/>
        <v>36624</v>
      </c>
      <c r="AL43" s="277">
        <f t="shared" si="54"/>
        <v>36624</v>
      </c>
      <c r="AM43" s="278">
        <f t="shared" si="54"/>
        <v>36624</v>
      </c>
      <c r="AN43" s="277">
        <f t="shared" si="54"/>
        <v>36624</v>
      </c>
      <c r="AO43" s="278">
        <f t="shared" si="54"/>
        <v>36624</v>
      </c>
      <c r="AP43" s="277">
        <f t="shared" si="54"/>
        <v>36624</v>
      </c>
      <c r="AQ43" s="278">
        <f t="shared" si="54"/>
        <v>36624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33984</v>
      </c>
      <c r="O44" s="1785">
        <f>SUM(O43:Q43)</f>
        <v>101952</v>
      </c>
      <c r="P44" s="1786"/>
      <c r="Q44" s="1787"/>
      <c r="R44" s="1788">
        <f>SUM(R43:S43)</f>
        <v>73248</v>
      </c>
      <c r="S44" s="1789"/>
      <c r="T44" s="1785">
        <f>SUM(T43:U43)</f>
        <v>73248</v>
      </c>
      <c r="U44" s="1787"/>
      <c r="V44" s="1788">
        <f>SUM(V43:AS43)</f>
        <v>795168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1077600</v>
      </c>
      <c r="BU44" s="286">
        <f>(BT44-BQ34)/BT44</f>
        <v>1</v>
      </c>
      <c r="BV44" s="285">
        <f>BT44/BU34</f>
        <v>127.67772511848341</v>
      </c>
    </row>
    <row r="45" spans="1:94" ht="14.4" thickBot="1" x14ac:dyDescent="0.3">
      <c r="J45" s="287" t="s">
        <v>2032</v>
      </c>
      <c r="N45" s="1805">
        <f>SUM(N43:Q43)</f>
        <v>135936</v>
      </c>
      <c r="O45" s="1806"/>
      <c r="P45" s="1806"/>
      <c r="Q45" s="1807"/>
      <c r="R45" s="1818">
        <f t="shared" ref="R45" si="56">SUM(R43:U43)</f>
        <v>146496</v>
      </c>
      <c r="S45" s="1819"/>
      <c r="T45" s="1819"/>
      <c r="U45" s="1820"/>
      <c r="V45" s="1805">
        <f t="shared" ref="V45" si="57">SUM(V43:BE43)</f>
        <v>795168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1077600</v>
      </c>
      <c r="BU45" s="291">
        <f>(BT45-BQ34)/BT45</f>
        <v>1</v>
      </c>
      <c r="BV45" s="290">
        <f>BT45/BU34</f>
        <v>127.67772511848341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36816</v>
      </c>
      <c r="O48" s="278">
        <f t="shared" si="60"/>
        <v>36816</v>
      </c>
      <c r="P48" s="276">
        <f t="shared" si="60"/>
        <v>36816</v>
      </c>
      <c r="Q48" s="277">
        <f t="shared" si="60"/>
        <v>36816</v>
      </c>
      <c r="R48" s="278">
        <f t="shared" si="60"/>
        <v>39676</v>
      </c>
      <c r="S48" s="277">
        <f t="shared" si="60"/>
        <v>39676</v>
      </c>
      <c r="T48" s="278">
        <f t="shared" si="60"/>
        <v>39676</v>
      </c>
      <c r="U48" s="277">
        <f t="shared" si="60"/>
        <v>39676</v>
      </c>
      <c r="V48" s="278">
        <f t="shared" si="60"/>
        <v>39676</v>
      </c>
      <c r="W48" s="277">
        <f t="shared" si="60"/>
        <v>39676</v>
      </c>
      <c r="X48" s="278">
        <f t="shared" si="60"/>
        <v>39676</v>
      </c>
      <c r="Y48" s="277">
        <f t="shared" si="60"/>
        <v>39676</v>
      </c>
      <c r="Z48" s="278">
        <f t="shared" si="60"/>
        <v>39676</v>
      </c>
      <c r="AA48" s="277">
        <f t="shared" si="60"/>
        <v>36816</v>
      </c>
      <c r="AB48" s="278">
        <f t="shared" si="60"/>
        <v>36816</v>
      </c>
      <c r="AC48" s="277">
        <f t="shared" si="60"/>
        <v>36816</v>
      </c>
      <c r="AD48" s="278">
        <f t="shared" si="60"/>
        <v>36816</v>
      </c>
      <c r="AE48" s="277">
        <f t="shared" si="60"/>
        <v>39676</v>
      </c>
      <c r="AF48" s="278">
        <f t="shared" si="60"/>
        <v>39676</v>
      </c>
      <c r="AG48" s="277">
        <f t="shared" si="60"/>
        <v>39676</v>
      </c>
      <c r="AH48" s="277">
        <f t="shared" si="60"/>
        <v>39676</v>
      </c>
      <c r="AI48" s="278">
        <f t="shared" si="60"/>
        <v>39676</v>
      </c>
      <c r="AJ48" s="277">
        <f t="shared" si="60"/>
        <v>39676</v>
      </c>
      <c r="AK48" s="278">
        <f t="shared" si="60"/>
        <v>39676</v>
      </c>
      <c r="AL48" s="277">
        <f t="shared" si="60"/>
        <v>39676</v>
      </c>
      <c r="AM48" s="278">
        <f t="shared" si="60"/>
        <v>39676</v>
      </c>
      <c r="AN48" s="277">
        <f t="shared" si="60"/>
        <v>39676</v>
      </c>
      <c r="AO48" s="278">
        <f t="shared" si="60"/>
        <v>39676</v>
      </c>
      <c r="AP48" s="277">
        <f t="shared" si="60"/>
        <v>39676</v>
      </c>
      <c r="AQ48" s="278">
        <f t="shared" si="60"/>
        <v>39676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36816</v>
      </c>
      <c r="O49" s="1785">
        <f>SUM(O48:Q48)</f>
        <v>110448</v>
      </c>
      <c r="P49" s="1786"/>
      <c r="Q49" s="1787"/>
      <c r="R49" s="1788">
        <f>SUM(R48:S48)</f>
        <v>79352</v>
      </c>
      <c r="S49" s="1789"/>
      <c r="T49" s="1785">
        <f>SUM(T48:U48)</f>
        <v>79352</v>
      </c>
      <c r="U49" s="1787"/>
      <c r="V49" s="1788">
        <f>SUM(V48:AS48)</f>
        <v>861432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147264</v>
      </c>
      <c r="O50" s="1806"/>
      <c r="P50" s="1806"/>
      <c r="Q50" s="1807"/>
      <c r="R50" s="1818">
        <f>SUM(R48:U48)</f>
        <v>158704</v>
      </c>
      <c r="S50" s="1819"/>
      <c r="T50" s="1819"/>
      <c r="U50" s="1820"/>
      <c r="V50" s="1805">
        <f t="shared" ref="V50" si="62">SUM(V48:BE48)</f>
        <v>861432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997395</v>
      </c>
    </row>
    <row r="52" spans="1:68" x14ac:dyDescent="0.25">
      <c r="J52" s="304" t="s">
        <v>2048</v>
      </c>
      <c r="K52" s="305">
        <f>+BP34/BO34/8</f>
        <v>106.39810426540285</v>
      </c>
    </row>
    <row r="53" spans="1:68" x14ac:dyDescent="0.25">
      <c r="J53" s="306" t="s">
        <v>2049</v>
      </c>
      <c r="K53" s="307">
        <f>+BP39/BO34/8</f>
        <v>127.67772511848341</v>
      </c>
    </row>
    <row r="54" spans="1:68" ht="14.4" thickBot="1" x14ac:dyDescent="0.3">
      <c r="J54" s="308" t="s">
        <v>2050</v>
      </c>
      <c r="K54" s="309">
        <f>+BP40/BO34/8</f>
        <v>138.3175355450237</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898000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898000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0.56022271714922045</v>
      </c>
      <c r="C52" s="938">
        <v>0.47</v>
      </c>
      <c r="D52" s="939">
        <f>B52-C52</f>
        <v>9.0222717149220477E-2</v>
      </c>
      <c r="E52" s="940">
        <f>'2. Roles &amp; Pricing'!D289/'2. Roles &amp; Pricing'!M289</f>
        <v>106.39810426540285</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1498166.6666666667</v>
      </c>
      <c r="D56" s="1231">
        <f>('4. Summary &amp; Totals'!$C$67)/(1-D55)+'4. Summary &amp; Totals'!$C$68</f>
        <v>1576938.5964912279</v>
      </c>
      <c r="E56" s="1231">
        <f>('4. Summary &amp; Totals'!$C$67)/(1-E55)+'4. Summary &amp; Totals'!$C$68</f>
        <v>1634227.2727272727</v>
      </c>
      <c r="F56" s="1231">
        <f>('4. Summary &amp; Totals'!$C$67)/(1-F55)+'4. Summary &amp; Totals'!$C$68</f>
        <v>1797500</v>
      </c>
      <c r="G56" s="1231">
        <f>('4. Summary &amp; Totals'!$C$67)/(1-G55)+'4. Summary &amp; Totals'!$C$68</f>
        <v>1997055.5555555557</v>
      </c>
      <c r="H56" s="1231" t="str">
        <f>IF(H55="Enter Test Margin %","",('4. Summary &amp; Totals'!$C$67)/(1-H55)+'4. Summary &amp; Totals'!$C$68)</f>
        <v/>
      </c>
      <c r="I56" s="1232" t="s">
        <v>3685</v>
      </c>
    </row>
    <row r="57" spans="2:9" x14ac:dyDescent="0.25">
      <c r="B57" s="945" t="s">
        <v>225</v>
      </c>
      <c r="C57" s="1233">
        <f>IFERROR(ROUNDUP((C56/'2. Roles &amp; Pricing'!$M$289),0),"")</f>
        <v>178</v>
      </c>
      <c r="D57" s="1233">
        <f>ROUNDUP(IFERROR(D56/'2. Roles &amp; Pricing'!$M$289,""),0)</f>
        <v>187</v>
      </c>
      <c r="E57" s="1233">
        <f>ROUNDUP(IFERROR(E56/'2. Roles &amp; Pricing'!$M$289,""),0)</f>
        <v>194</v>
      </c>
      <c r="F57" s="1233">
        <f>ROUNDUP(IFERROR(F56/'2. Roles &amp; Pricing'!$M$289,""),0)</f>
        <v>213</v>
      </c>
      <c r="G57" s="1233">
        <f>ROUNDUP(IFERROR(G56/'2. Roles &amp; Pricing'!$M$289,""),0)</f>
        <v>237</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898000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Green Dot Marketing 2025</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997395</v>
      </c>
      <c r="D36" s="413"/>
      <c r="E36" s="594"/>
      <c r="F36" s="594"/>
      <c r="G36" s="413"/>
      <c r="S36" s="581"/>
      <c r="T36" s="596"/>
    </row>
    <row r="37" spans="2:20" x14ac:dyDescent="0.25">
      <c r="B37" s="963" t="s">
        <v>3227</v>
      </c>
      <c r="C37" s="1408">
        <f>C53</f>
        <v>0.58280428841706955</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997395</v>
      </c>
      <c r="D45" s="413"/>
      <c r="E45" s="594"/>
      <c r="F45" s="594"/>
      <c r="G45" s="413"/>
      <c r="S45" s="581"/>
      <c r="T45" s="596"/>
    </row>
    <row r="46" spans="2:20" x14ac:dyDescent="0.25">
      <c r="B46" s="961" t="s">
        <v>2088</v>
      </c>
      <c r="C46" s="1410">
        <f>COUNTA('2. Roles &amp; Pricing'!K48:K147)</f>
        <v>8</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0.58280428841706955</v>
      </c>
      <c r="E53" s="413"/>
      <c r="J53" s="495"/>
      <c r="K53" s="601"/>
      <c r="L53" s="496"/>
    </row>
    <row r="54" spans="2:20" x14ac:dyDescent="0.25">
      <c r="B54" s="867" t="s">
        <v>111</v>
      </c>
      <c r="C54" s="1413">
        <f>IFERROR('2. Roles &amp; Pricing'!$D$289/'2. Roles &amp; Pricing'!M289,"")</f>
        <v>106.39810426540285</v>
      </c>
      <c r="E54" s="413"/>
      <c r="J54" s="495"/>
      <c r="K54" s="601"/>
      <c r="L54" s="496"/>
    </row>
    <row r="55" spans="2:20" x14ac:dyDescent="0.25">
      <c r="B55" s="1239" t="s">
        <v>2093</v>
      </c>
      <c r="C55" s="1414">
        <f>IFERROR(($C$71+$C$67*(1+C56)),"Enter Contingency % on Summary Inputs")</f>
        <v>949900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949900</v>
      </c>
      <c r="E60" s="484"/>
      <c r="J60" s="495"/>
      <c r="K60" s="601"/>
      <c r="L60" s="496"/>
      <c r="T60" s="605"/>
    </row>
    <row r="61" spans="2:20" x14ac:dyDescent="0.25">
      <c r="B61" s="1238" t="s">
        <v>2081</v>
      </c>
      <c r="C61" s="1540">
        <f>IFERROR(C60*(1+C56),"Incomplete Project Information")</f>
        <v>997395</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898000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44900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951400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394920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396920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57.851239669421489</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0.625</v>
      </c>
      <c r="E87" s="429"/>
      <c r="L87" s="412"/>
    </row>
    <row r="88" spans="2:12" x14ac:dyDescent="0.25">
      <c r="B88" s="1149" t="s">
        <v>111</v>
      </c>
      <c r="C88" s="1422">
        <f>IFERROR('2. Roles &amp; Pricing'!D289/'2. Roles &amp; Pricing'!M289,"")</f>
        <v>106.39810426540285</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8440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8</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8440</v>
      </c>
      <c r="D99" s="1429">
        <f>IFERROR(C99/'2. Roles &amp; Pricing'!$M$289,"")</f>
        <v>1</v>
      </c>
      <c r="E99" s="1433">
        <f>SUMIF('2. Roles &amp; Pricing'!$C$48:$C$147,"TADIndia",'2. Roles &amp; Pricing'!$D$291:$D$390)+SUMIF('2. Roles &amp; Pricing'!$C$48:$C$147,"TADNorthAmerica",'2. Roles &amp; Pricing'!$D$291:$D$390)</f>
        <v>898000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0</v>
      </c>
      <c r="D109" s="1445">
        <f>IFERROR(C109/'2. Roles &amp; Pricing'!$M$289,"")</f>
        <v>0</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6640</v>
      </c>
      <c r="D111" s="1447">
        <f>IFERROR(C111/'2. Roles &amp; Pricing'!$M$289,"")</f>
        <v>0.78672985781990523</v>
      </c>
      <c r="E111" s="612"/>
      <c r="F111" s="613"/>
      <c r="H111" s="458"/>
      <c r="I111" s="496"/>
      <c r="J111" s="508"/>
    </row>
    <row r="112" spans="2:10" x14ac:dyDescent="0.25">
      <c r="B112" s="978" t="s">
        <v>114</v>
      </c>
      <c r="C112" s="1446">
        <f>IFERROR(SUMIF('2. Roles &amp; Pricing'!$N$48:$N$147,3,'2. Roles &amp; Pricing'!$M$291:$M$390),"")</f>
        <v>1200</v>
      </c>
      <c r="D112" s="1447">
        <f>IFERROR(C112/'2. Roles &amp; Pricing'!$M$289,"")</f>
        <v>0.14218009478672985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600</v>
      </c>
      <c r="D114" s="1447">
        <f>IFERROR(C114/'2. Roles &amp; Pricing'!$M$289,"")</f>
        <v>7.1090047393364927E-2</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Green Dot Marketing 2025</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997395</v>
      </c>
      <c r="D26" s="1897"/>
      <c r="E26" s="1897"/>
      <c r="F26" s="1897"/>
      <c r="G26" s="1897"/>
      <c r="H26" s="1898"/>
      <c r="I26" s="1601"/>
      <c r="J26" s="1894"/>
      <c r="K26" s="1894"/>
      <c r="L26" s="1895"/>
    </row>
    <row r="27" spans="2:19" ht="19.95" customHeight="1" x14ac:dyDescent="0.25">
      <c r="B27" s="999" t="s">
        <v>1673</v>
      </c>
      <c r="C27" s="1899">
        <f>'4. Summary &amp; Totals'!C37</f>
        <v>0.58280428841706955</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106.39810426540285</v>
      </c>
      <c r="D30" s="1909"/>
      <c r="E30" s="1909"/>
      <c r="F30" s="1910"/>
      <c r="G30" s="1912">
        <f>'2. Roles &amp; Pricing'!F289/'2. Roles &amp; Pricing'!M289</f>
        <v>46.791469194312796</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57.851239669421489</v>
      </c>
      <c r="D32" s="1997"/>
      <c r="E32" s="1997"/>
      <c r="F32" s="1998"/>
      <c r="G32" s="1994">
        <f>IFERROR(SUMIFS('2. Roles &amp; Pricing'!$F$291:$F$390,'2. Roles &amp; Pricing'!$W$48:$W$147,"Offshore")/SUMIFS('2. Roles &amp; Pricing'!$M$291:$M$390,'2. Roles &amp; Pricing'!$W$48:$W$147,"Offshore"),"")</f>
        <v>20.851239669421489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8</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Green Dot Marketing 2025</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2025-09-01T10:40:51Z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