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BEF6068E-AA3C-4EDB-B4F8-0B9579ED9AC9}"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2"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6" i="28" s="1"/>
  <c r="K171" i="13"/>
  <c r="P16" i="28" s="1"/>
  <c r="L171" i="13"/>
  <c r="Q16" i="28" s="1"/>
  <c r="Z171" i="13"/>
  <c r="AB171" i="13"/>
  <c r="F171" i="13"/>
  <c r="N16" i="28" s="1"/>
  <c r="AA171" i="13"/>
  <c r="F170" i="13"/>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1"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N60" i="13" a="1"/>
  <c r="N60" i="13" s="1"/>
  <c r="N73" i="13" a="1"/>
  <c r="N73" i="13" s="1"/>
  <c r="N84" i="13" a="1"/>
  <c r="N84" i="13" s="1"/>
  <c r="N97" i="13" a="1"/>
  <c r="N97" i="13" s="1"/>
  <c r="N108" i="13" a="1"/>
  <c r="N108" i="13" s="1"/>
  <c r="N120" i="13" a="1"/>
  <c r="N120" i="13" s="1"/>
  <c r="N134" i="13" a="1"/>
  <c r="N134" i="13" s="1"/>
  <c r="N146" i="13" a="1"/>
  <c r="N146" i="13" s="1"/>
  <c r="I303" i="13" a="1"/>
  <c r="I303" i="13" s="1"/>
  <c r="BS27"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2"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4"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6"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3"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5"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29"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1"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0" i="28" s="1"/>
  <c r="I333" i="13" a="1"/>
  <c r="I333" i="13" s="1"/>
  <c r="I361" i="13" a="1"/>
  <c r="I361" i="13" s="1"/>
  <c r="N112" i="13" a="1"/>
  <c r="N112" i="13" s="1"/>
  <c r="N138" i="13" a="1"/>
  <c r="N138" i="13" s="1"/>
  <c r="I308" i="13" a="1"/>
  <c r="I308" i="13" s="1"/>
  <c r="BS32" i="28" s="1"/>
  <c r="I335" i="13" a="1"/>
  <c r="I335" i="13" s="1"/>
  <c r="I363" i="13" a="1"/>
  <c r="I363" i="13" s="1"/>
  <c r="I291" i="13" a="1"/>
  <c r="I291" i="13" s="1"/>
  <c r="BS15" i="28" s="1"/>
  <c r="K306" i="13" a="1"/>
  <c r="K306" i="13" s="1"/>
  <c r="K339" i="13" a="1"/>
  <c r="K339" i="13" s="1"/>
  <c r="K355" i="13" a="1"/>
  <c r="K355" i="13" s="1"/>
  <c r="N76" i="13" a="1"/>
  <c r="N76" i="13" s="1"/>
  <c r="N101" i="13" a="1"/>
  <c r="N101" i="13" s="1"/>
  <c r="N124" i="13" a="1"/>
  <c r="N124" i="13" s="1"/>
  <c r="I293" i="13" a="1"/>
  <c r="I293" i="13" s="1"/>
  <c r="BS17"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8"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6"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N77" i="13" a="1"/>
  <c r="N77" i="13" s="1"/>
  <c r="I294" i="13" a="1"/>
  <c r="I294" i="13" s="1"/>
  <c r="BS18" i="28" s="1"/>
  <c r="I321" i="13" a="1"/>
  <c r="I321" i="13" s="1"/>
  <c r="I377" i="13" a="1"/>
  <c r="I377" i="13" s="1"/>
  <c r="K330" i="13" a="1"/>
  <c r="K330" i="13" s="1"/>
  <c r="K378" i="13" a="1"/>
  <c r="K378" i="13" s="1"/>
  <c r="N54" i="13" a="1"/>
  <c r="N54" i="13" s="1"/>
  <c r="I296" i="13" a="1"/>
  <c r="I296" i="13" s="1"/>
  <c r="BS20"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19"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19"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7" i="28" s="1"/>
  <c r="O371" i="13"/>
  <c r="N371" i="13"/>
  <c r="AB128" i="13"/>
  <c r="N349" i="13"/>
  <c r="O349" i="13"/>
  <c r="AB106" i="13"/>
  <c r="N304" i="13"/>
  <c r="M304" i="13"/>
  <c r="F304" i="13" s="1" a="1"/>
  <c r="F304" i="13" s="1"/>
  <c r="BQ28" i="28"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Q30" i="28"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BQ31"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3" i="28" s="1"/>
  <c r="N309" i="13"/>
  <c r="N360" i="13"/>
  <c r="O360" i="13"/>
  <c r="AB117" i="13"/>
  <c r="N293" i="13"/>
  <c r="M293" i="13"/>
  <c r="F293" i="13" s="1" a="1"/>
  <c r="F293" i="13" s="1"/>
  <c r="BQ17"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2" i="28" s="1"/>
  <c r="N308" i="13"/>
  <c r="Z15" i="28"/>
  <c r="N292" i="13"/>
  <c r="M292" i="13"/>
  <c r="F292" i="13" s="1" a="1"/>
  <c r="F292" i="13" s="1"/>
  <c r="BQ16"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6" i="28" s="1"/>
  <c r="N302" i="13"/>
  <c r="N364" i="13"/>
  <c r="O364" i="13"/>
  <c r="AB121" i="13"/>
  <c r="N363" i="13"/>
  <c r="O363" i="13"/>
  <c r="AB120" i="13"/>
  <c r="N299" i="13"/>
  <c r="M299" i="13"/>
  <c r="F299" i="13" s="1" a="1"/>
  <c r="F299" i="13" s="1"/>
  <c r="BQ23" i="28" s="1"/>
  <c r="O389" i="13"/>
  <c r="N389" i="13"/>
  <c r="AB146" i="13"/>
  <c r="O359" i="13"/>
  <c r="N359" i="13"/>
  <c r="AB116" i="13"/>
  <c r="M298" i="13"/>
  <c r="F298" i="13" s="1" a="1"/>
  <c r="F298" i="13" s="1"/>
  <c r="BQ22" i="28" s="1"/>
  <c r="N298" i="13"/>
  <c r="N311" i="13"/>
  <c r="M311" i="13"/>
  <c r="F311" i="13" s="1" a="1"/>
  <c r="F311" i="13" s="1"/>
  <c r="M301" i="13"/>
  <c r="F301" i="13" s="1" a="1"/>
  <c r="F301" i="13" s="1"/>
  <c r="BQ25"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29" i="28" s="1"/>
  <c r="N337" i="13"/>
  <c r="M337" i="13"/>
  <c r="F337" i="13" s="1" a="1"/>
  <c r="F337" i="13" s="1"/>
  <c r="N300" i="13"/>
  <c r="M300" i="13"/>
  <c r="F300" i="13" s="1" a="1"/>
  <c r="F300" i="13" s="1"/>
  <c r="BQ24" i="28" s="1"/>
  <c r="N297" i="13"/>
  <c r="M297" i="13"/>
  <c r="N379" i="13"/>
  <c r="O379" i="13"/>
  <c r="AB136" i="13"/>
  <c r="O357" i="13"/>
  <c r="N357" i="13"/>
  <c r="AB114" i="13"/>
  <c r="N374" i="13"/>
  <c r="O374" i="13"/>
  <c r="AB131" i="13"/>
  <c r="N332" i="13"/>
  <c r="M332" i="13"/>
  <c r="F332" i="13" s="1" a="1"/>
  <c r="F332" i="13" s="1"/>
  <c r="F297" i="13" l="1" a="1"/>
  <c r="F297" i="13" s="1"/>
  <c r="BQ21" i="28" s="1"/>
  <c r="C114" i="10"/>
  <c r="BN15" i="28"/>
  <c r="F291" i="13" a="1"/>
  <c r="F291" i="13" s="1"/>
  <c r="BQ15" i="28" s="1"/>
  <c r="C111" i="10"/>
  <c r="F296" i="13" a="1"/>
  <c r="F296" i="13" s="1"/>
  <c r="BQ20" i="28" s="1"/>
  <c r="C109" i="10"/>
  <c r="C103" i="10"/>
  <c r="F294" i="13" a="1"/>
  <c r="F294" i="13" s="1"/>
  <c r="BQ18"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BT35" i="28"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P50" i="28"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<sst xmlns="http://schemas.openxmlformats.org/spreadsheetml/2006/main" count="22827" uniqueCount="3692">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</sst>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lignment horizontal="left" vertical="top" indent="4"/>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6" fillId="16" borderId="0" xfId="0" applyFont="1" applyFill="1" applyAlignment="1" applyProtection="1">
      <alignment horizontal="left"/>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31" sqref="C31"/>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2194</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29" activePane="bottomLeft" state="frozen"/>
      <selection activeCell="G20" sqref="G20"/>
      <selection pane="bottomLeft" activeCell="I50" sqref="I50"/>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4" t="s">
        <v>2199</v>
      </c>
      <c r="D17" s="1705"/>
      <c r="E17" s="1705"/>
      <c r="F17" s="1706"/>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43110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912660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0.55130354886872635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678600</v>
      </c>
      <c r="AE28" s="517">
        <f>IF(AE48="","",SUMIFS($D$291:$D$390,$AE$48:$AE$147,"Yes"))</f>
        <v>237000</v>
      </c>
      <c r="AF28" s="1457">
        <f>IF(AF48="","",SUMIFS($D$291:$D$390,$AF$48:$AF$147,"Yes"))</f>
        <v>252600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Fixed Fee</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301200</v>
      </c>
      <c r="AE29" s="517">
        <f>IF(AE48="","",SUMIFS($F$291:$F$390,$AE$48:$AE$147,"Yes"))</f>
        <v>94800</v>
      </c>
      <c r="AF29" s="1457">
        <f>IF(AF48="","",SUMIFS($F$291:$F$390,$AF$48:$AF$147,"Yes"))</f>
        <v>109200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58.372093023255815</v>
      </c>
      <c r="AE30" s="1459">
        <f>IFERROR(AE29/SUMIFS($M$291:$M$390,AE48:AE147,"Yes"),"")</f>
        <v>52.666666666666664</v>
      </c>
      <c r="AF30" s="1460">
        <f>IFERROR(AF29/SUMIFS($M$291:$M$390,AF48:AF147,"Yes"),"")</f>
        <v>39.565217391304351</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02" t="s">
        <v>2292</v>
      </c>
      <c r="G32" s="1702"/>
      <c r="H32" s="1702"/>
      <c r="I32" s="1702"/>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7" t="s">
        <v>3202</v>
      </c>
      <c r="D35" s="1707"/>
      <c r="E35" s="1707"/>
      <c r="F35" s="1707"/>
      <c r="G35" s="1707"/>
      <c r="H35" s="1707"/>
      <c r="I35" s="1707"/>
      <c r="J35" s="1707"/>
      <c r="K35" s="1707"/>
      <c r="L35" s="1707"/>
      <c r="M35" s="1707"/>
      <c r="N35" s="1707"/>
      <c r="O35" s="1707"/>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99" t="s">
        <v>3235</v>
      </c>
      <c r="D37" s="1699"/>
      <c r="E37" s="1699"/>
      <c r="F37" s="1699"/>
      <c r="G37" s="1699"/>
      <c r="H37" s="1699"/>
      <c r="I37" s="1699"/>
      <c r="J37" s="1699"/>
      <c r="K37" s="1699"/>
      <c r="L37" s="1699"/>
      <c r="M37" s="1699"/>
      <c r="N37" s="1699"/>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99" t="s">
        <v>3236</v>
      </c>
      <c r="D38" s="1699"/>
      <c r="E38" s="1699"/>
      <c r="F38" s="1699"/>
      <c r="G38" s="1699"/>
      <c r="H38" s="1699"/>
      <c r="I38" s="1699"/>
      <c r="J38" s="1699"/>
      <c r="K38" s="1699"/>
      <c r="L38" s="1699"/>
      <c r="M38" s="1699"/>
      <c r="N38" s="1699"/>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99" t="s">
        <v>3238</v>
      </c>
      <c r="D40" s="1699"/>
      <c r="E40" s="1699"/>
      <c r="F40" s="1699"/>
      <c r="G40" s="1699"/>
      <c r="H40" s="1699"/>
      <c r="I40" s="1699"/>
      <c r="J40" s="1699"/>
      <c r="K40" s="1699"/>
      <c r="L40" s="1699"/>
      <c r="M40" s="1699"/>
      <c r="N40" s="1699"/>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99" t="s">
        <v>3239</v>
      </c>
      <c r="D42" s="1699"/>
      <c r="E42" s="1699"/>
      <c r="F42" s="1699"/>
      <c r="G42" s="1699"/>
      <c r="H42" s="1699"/>
      <c r="I42" s="1699"/>
      <c r="J42" s="1699"/>
      <c r="K42" s="1699"/>
      <c r="L42" s="1699"/>
      <c r="M42" s="1699"/>
      <c r="N42" s="1699"/>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0" t="s">
        <v>3240</v>
      </c>
      <c r="D43" s="1700"/>
      <c r="E43" s="1700"/>
      <c r="F43" s="1700"/>
      <c r="G43" s="1700"/>
      <c r="H43" s="1700"/>
      <c r="I43" s="1700"/>
      <c r="J43" s="1700"/>
      <c r="K43" s="1700"/>
      <c r="L43" s="1700"/>
      <c r="M43" s="1700"/>
      <c r="N43" s="1700"/>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1" t="s">
        <v>3241</v>
      </c>
      <c r="D44" s="1701"/>
      <c r="E44" s="1701"/>
      <c r="F44" s="1701"/>
      <c r="G44" s="1701"/>
      <c r="H44" s="1701"/>
      <c r="I44" s="1701"/>
      <c r="J44" s="1701"/>
      <c r="K44" s="1701"/>
      <c r="L44" s="1701"/>
      <c r="M44" s="1701"/>
      <c r="N44" s="1701"/>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3435</v>
      </c>
      <c r="J48" s="1184" t="str">
        <f>C48</f>
        <v>TADNorthAmerica</v>
      </c>
      <c r="K48" s="1687" t="s">
        <v>532</v>
      </c>
      <c r="L48" s="1688"/>
      <c r="M48" s="1689"/>
      <c r="N48" s="1190" cm="1">
        <f t="array" ref="N48">IF($E$20="Credera US",V48,SUMPRODUCT(('Rates &amp; Drop Downs INT'!$CG$6:$CG$747=$D48)*('Rates &amp; Drop Downs INT'!$CI$6:$CI$747=$F48)*('Rates &amp; Drop Downs INT'!$CK$6:$CK$747=$K48)*('Rates &amp; Drop Downs INT'!$CM$6:$CM$747)))</f>
        <v>2</v>
      </c>
      <c r="O48" s="1703"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3"/>
      <c r="Q48" s="1703"/>
      <c r="R48" s="1703"/>
      <c r="S48" s="1703"/>
      <c r="T48" s="1709"/>
      <c r="U48" s="1709"/>
      <c r="V48" s="1221">
        <f>IFERROR(IF(ISBLANK(K48)," ",_xlfn.XLOOKUP(K48,'Rates &amp; Drop Downs INT'!C:C,'Rates &amp; Drop Downs INT'!J:J)),N48)</f>
        <v>0</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t="s">
        <v>3462</v>
      </c>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t="s">
        <v>1779</v>
      </c>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297</v>
      </c>
      <c r="E54" s="1187" t="str">
        <f>IFERROR(_xlfn.XLOOKUP(D54,TADIndia,'Rates &amp; Drop Downs INT'!$CH$6:$CH$747),"")</f>
        <v>DOTNET</v>
      </c>
      <c r="F54" s="1187" t="s">
        <v>1872</v>
      </c>
      <c r="G54" s="1187" t="str">
        <f>IFERROR(_xlfn.XLOOKUP(F54,'Rates &amp; Drop Downs INT'!$CI$6:$CI$747,'Rates &amp; Drop Downs INT'!$CJ$6:$CJ$747),"")</f>
        <v>DOTNET_DOTNET</v>
      </c>
      <c r="H54" s="1187" t="str">
        <f>_xlfn.XLOOKUP(F54,'Rates &amp; Drop Downs INT'!$DF$6:$DF$173,'Rates &amp; Drop Downs INT'!$DG$6:$DG$173,"")</f>
        <v/>
      </c>
      <c r="I54" s="1187"/>
      <c r="J54" s="1188"/>
      <c r="K54" s="1687" t="s">
        <v>542</v>
      </c>
      <c r="L54" s="1688"/>
      <c r="M54" s="1689"/>
      <c r="N54" s="1190" cm="1">
        <f t="array" ref="N54">IF($E$20="Credera US",V54,SUMPRODUCT(('Rates &amp; Drop Downs INT'!$CG$6:$CG$747=$D54)*('Rates &amp; Drop Downs INT'!$CI$6:$CI$747=$F54)*('Rates &amp; Drop Downs INT'!$CK$6:$CK$747=$K54)*('Rates &amp; Drop Downs INT'!$CM$6:$CM$747)))</f>
        <v>5</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Developer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Multi-Solution Architect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0.54919972164231035</v>
      </c>
      <c r="E288" s="520"/>
      <c r="F288" s="521"/>
      <c r="G288" s="1211"/>
      <c r="H288" s="1211"/>
      <c r="J288" s="1211"/>
    </row>
    <row r="289" spans="2:16" ht="25.95" customHeight="1" x14ac:dyDescent="0.25">
      <c r="B289" s="555"/>
      <c r="C289" s="907" t="s">
        <v>2197</v>
      </c>
      <c r="D289" s="908">
        <f>SUM(D291:D390)</f>
        <v>862200</v>
      </c>
      <c r="E289" s="908"/>
      <c r="F289" s="908">
        <f>SUM(F291:F390)</f>
        <v>388680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Developer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76800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33000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10800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Multi-Solution Architect</v>
      </c>
      <c r="D297" s="918">
        <f t="shared" si="89"/>
        <v>150000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75000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125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F32:I32"/>
    <mergeCell ref="K47:M47"/>
    <mergeCell ref="C37:N37"/>
    <mergeCell ref="C38:N38"/>
    <mergeCell ref="O47:S47"/>
    <mergeCell ref="O48:S48"/>
    <mergeCell ref="O49:S49"/>
    <mergeCell ref="O50:S50"/>
    <mergeCell ref="C17:F17"/>
    <mergeCell ref="K48:M48"/>
    <mergeCell ref="K49:M49"/>
    <mergeCell ref="K50:M50"/>
    <mergeCell ref="C35:O35"/>
    <mergeCell ref="K51:M51"/>
    <mergeCell ref="C42:N42"/>
    <mergeCell ref="C43:N43"/>
    <mergeCell ref="C44:N44"/>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O51:S51"/>
    <mergeCell ref="T79:U79"/>
    <mergeCell ref="T80:U80"/>
    <mergeCell ref="T81:U81"/>
    <mergeCell ref="T82:U82"/>
    <mergeCell ref="T83:U83"/>
    <mergeCell ref="T84:U84"/>
    <mergeCell ref="T85:U85"/>
    <mergeCell ref="T86:U86"/>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tabSelected="1" zoomScale="80" zoomScaleNormal="80" workbookViewId="0">
      <selection activeCell="H5" sqref="H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99" t="s">
        <v>2173</v>
      </c>
      <c r="H9" s="1800"/>
      <c r="I9" s="1800"/>
      <c r="J9" s="1800"/>
      <c r="K9" s="1801"/>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802"/>
      <c r="H10" s="1803"/>
      <c r="I10" s="1803"/>
      <c r="J10" s="1803"/>
      <c r="K10" s="1804"/>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805"/>
      <c r="H11" s="1806"/>
      <c r="I11" s="1806"/>
      <c r="J11" s="1806"/>
      <c r="K11" s="1807"/>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808" t="s">
        <v>1966</v>
      </c>
    </row>
    <row r="12" spans="1:94" s="161" customFormat="1" ht="28.2" thickBot="1" x14ac:dyDescent="0.35">
      <c r="A12" s="157"/>
      <c r="B12" s="158"/>
      <c r="C12" s="158"/>
      <c r="D12" s="158"/>
      <c r="E12" s="158"/>
      <c r="F12" s="158"/>
      <c r="G12" s="1810" t="s">
        <v>1967</v>
      </c>
      <c r="H12" s="1811"/>
      <c r="I12" s="1811"/>
      <c r="J12" s="1811"/>
      <c r="K12" s="1812"/>
      <c r="L12" s="1816" t="s">
        <v>1</v>
      </c>
      <c r="M12" s="1817"/>
      <c r="N12" s="166" t="s">
        <v>1968</v>
      </c>
      <c r="O12" s="1820" t="s">
        <v>1969</v>
      </c>
      <c r="P12" s="1820"/>
      <c r="Q12" s="1784"/>
      <c r="R12" s="1783" t="s">
        <v>1970</v>
      </c>
      <c r="S12" s="1784"/>
      <c r="T12" s="1783" t="s">
        <v>1971</v>
      </c>
      <c r="U12" s="1784"/>
      <c r="V12" s="1783" t="s">
        <v>1972</v>
      </c>
      <c r="W12" s="1820"/>
      <c r="X12" s="1820"/>
      <c r="Y12" s="1820"/>
      <c r="Z12" s="1820"/>
      <c r="AA12" s="1820"/>
      <c r="AB12" s="1820"/>
      <c r="AC12" s="1820"/>
      <c r="AD12" s="1820"/>
      <c r="AE12" s="1820"/>
      <c r="AF12" s="1820"/>
      <c r="AG12" s="1820"/>
      <c r="AH12" s="1820"/>
      <c r="AI12" s="1820"/>
      <c r="AJ12" s="1820"/>
      <c r="AK12" s="1820"/>
      <c r="AL12" s="1820"/>
      <c r="AM12" s="1820"/>
      <c r="AN12" s="1820"/>
      <c r="AO12" s="1820"/>
      <c r="AP12" s="1820"/>
      <c r="AQ12" s="1820"/>
      <c r="AR12" s="1820"/>
      <c r="AS12" s="1784"/>
      <c r="AT12" s="1783" t="s">
        <v>1973</v>
      </c>
      <c r="AU12" s="1784"/>
      <c r="AV12" s="1783" t="s">
        <v>1974</v>
      </c>
      <c r="AW12" s="1784"/>
      <c r="AX12" s="1783" t="s">
        <v>1975</v>
      </c>
      <c r="AY12" s="1784"/>
      <c r="AZ12" s="1783" t="s">
        <v>1976</v>
      </c>
      <c r="BA12" s="1784"/>
      <c r="BB12" s="1783" t="s">
        <v>1977</v>
      </c>
      <c r="BC12" s="1784"/>
      <c r="BD12" s="1783" t="s">
        <v>1973</v>
      </c>
      <c r="BE12" s="1784"/>
      <c r="BF12" s="1783" t="s">
        <v>1974</v>
      </c>
      <c r="BG12" s="1784"/>
      <c r="BH12" s="1783" t="s">
        <v>1975</v>
      </c>
      <c r="BI12" s="1784"/>
      <c r="BJ12" s="1783" t="s">
        <v>1976</v>
      </c>
      <c r="BK12" s="1784"/>
      <c r="BL12" s="1783" t="s">
        <v>1977</v>
      </c>
      <c r="BM12" s="1784"/>
      <c r="BN12" s="161" t="s">
        <v>2201</v>
      </c>
      <c r="BO12" s="161" t="s">
        <v>2200</v>
      </c>
      <c r="BR12" s="1809"/>
      <c r="BS12" s="1785" t="s">
        <v>2175</v>
      </c>
      <c r="BT12" s="1786"/>
      <c r="BU12" s="167"/>
    </row>
    <row r="13" spans="1:94" s="161" customFormat="1" ht="28.2" thickBot="1" x14ac:dyDescent="0.35">
      <c r="A13" s="157"/>
      <c r="B13" s="158"/>
      <c r="C13" s="158"/>
      <c r="D13" s="158"/>
      <c r="E13" s="158"/>
      <c r="F13" s="158"/>
      <c r="G13" s="1813"/>
      <c r="H13" s="1814"/>
      <c r="I13" s="1814"/>
      <c r="J13" s="1814"/>
      <c r="K13" s="1815"/>
      <c r="L13" s="1818"/>
      <c r="M13" s="1819"/>
      <c r="N13" s="168" t="s">
        <v>1978</v>
      </c>
      <c r="O13" s="1789" t="s">
        <v>1979</v>
      </c>
      <c r="P13" s="1789"/>
      <c r="Q13" s="1790"/>
      <c r="R13" s="1791" t="s">
        <v>1980</v>
      </c>
      <c r="S13" s="1792"/>
      <c r="T13" s="1791" t="s">
        <v>1980</v>
      </c>
      <c r="U13" s="1792"/>
      <c r="V13" s="1791" t="s">
        <v>1980</v>
      </c>
      <c r="W13" s="1793"/>
      <c r="X13" s="1793"/>
      <c r="Y13" s="1793"/>
      <c r="Z13" s="1793"/>
      <c r="AA13" s="1793"/>
      <c r="AB13" s="1793"/>
      <c r="AC13" s="1793"/>
      <c r="AD13" s="1793"/>
      <c r="AE13" s="1793"/>
      <c r="AF13" s="1793"/>
      <c r="AG13" s="1793"/>
      <c r="AH13" s="1793"/>
      <c r="AI13" s="1793"/>
      <c r="AJ13" s="1793"/>
      <c r="AK13" s="1793"/>
      <c r="AL13" s="1793"/>
      <c r="AM13" s="1793"/>
      <c r="AN13" s="1793"/>
      <c r="AO13" s="1793"/>
      <c r="AP13" s="1793"/>
      <c r="AQ13" s="1793"/>
      <c r="AR13" s="1793"/>
      <c r="AS13" s="1792"/>
      <c r="AT13" s="1791" t="s">
        <v>1980</v>
      </c>
      <c r="AU13" s="1792"/>
      <c r="AV13" s="1791" t="s">
        <v>1980</v>
      </c>
      <c r="AW13" s="1792"/>
      <c r="AX13" s="1791" t="s">
        <v>1980</v>
      </c>
      <c r="AY13" s="1792"/>
      <c r="AZ13" s="1794" t="s">
        <v>1981</v>
      </c>
      <c r="BA13" s="1795"/>
      <c r="BB13" s="1794" t="s">
        <v>1982</v>
      </c>
      <c r="BC13" s="1795"/>
      <c r="BD13" s="1791" t="s">
        <v>1980</v>
      </c>
      <c r="BE13" s="1792"/>
      <c r="BF13" s="1791" t="s">
        <v>1980</v>
      </c>
      <c r="BG13" s="1792"/>
      <c r="BH13" s="1791" t="s">
        <v>1980</v>
      </c>
      <c r="BI13" s="1792"/>
      <c r="BJ13" s="1794" t="s">
        <v>1981</v>
      </c>
      <c r="BK13" s="1795"/>
      <c r="BL13" s="1794" t="s">
        <v>1982</v>
      </c>
      <c r="BM13" s="1795"/>
      <c r="BN13" s="1796" t="s">
        <v>1983</v>
      </c>
      <c r="BO13" s="1797"/>
      <c r="BP13" s="1797"/>
      <c r="BQ13" s="1797"/>
      <c r="BR13" s="1798"/>
      <c r="BS13" s="1787"/>
      <c r="BT13" s="178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14.4" thickBot="1" x14ac:dyDescent="0.35">
      <c r="A15" s="192">
        <v>1</v>
      </c>
      <c r="B15" s="193">
        <v>3</v>
      </c>
      <c r="C15" s="193" t="str">
        <f t="shared" ref="C15:C32" si="46">G15&amp;"__"&amp;H15</f>
        <v>.NET__DOTNET</v>
      </c>
      <c r="D15" s="193" t="str">
        <f t="shared" ref="D15:D32" si="47">G15&amp;"__"&amp;H15&amp;"__"&amp;I15</f>
        <v>.NET__DOTNET__Sitecore</v>
      </c>
      <c r="E15" s="193">
        <v>21</v>
      </c>
      <c r="F15" s="193">
        <v>8</v>
      </c>
      <c r="G15" s="194" t="str">
        <f>'2. Roles &amp; Pricing'!D48</f>
        <v>.NET</v>
      </c>
      <c r="H15" s="194" t="str">
        <f>'2. Roles &amp; Pricing'!E48</f>
        <v>DOTNET</v>
      </c>
      <c r="I15" s="194" t="str">
        <f>'2. Roles &amp; Pricing'!F48</f>
        <v>Sitecore</v>
      </c>
      <c r="J15" s="196" t="str">
        <f>'2. Roles &amp; Pricing'!K48</f>
        <v>Developer</v>
      </c>
      <c r="K15" s="197" t="str">
        <f>'2. Roles &amp; Pricing'!W48</f>
        <v>Onshore</v>
      </c>
      <c r="L15" s="195"/>
      <c r="M15" s="196"/>
      <c r="N15" s="707">
        <f>IFERROR('2. Roles &amp; Pricing'!F170/40,"")</f>
        <v>0.8</v>
      </c>
      <c r="O15" s="707">
        <f>IFERROR('2. Roles &amp; Pricing'!I170/40,"")</f>
        <v>0.8</v>
      </c>
      <c r="P15" s="707">
        <f>IFERROR('2. Roles &amp; Pricing'!K170/40,"")</f>
        <v>0.8</v>
      </c>
      <c r="Q15" s="707">
        <f>IFERROR('2. Roles &amp; Pricing'!L170/40,"")</f>
        <v>0.8</v>
      </c>
      <c r="R15" s="707">
        <f>IFERROR('2. Roles &amp; Pricing'!M170/40,"")</f>
        <v>0.8</v>
      </c>
      <c r="S15" s="1620">
        <f>IFERROR('2. Roles &amp; Pricing'!N170/40,"")</f>
        <v>0.8</v>
      </c>
      <c r="T15" s="707">
        <f>IFERROR('2. Roles &amp; Pricing'!O170/40,"")</f>
        <v>0.8</v>
      </c>
      <c r="U15" s="709">
        <f>IFERROR('2. Roles &amp; Pricing'!P170/40,"")</f>
        <v>0.8</v>
      </c>
      <c r="V15" s="709">
        <f>IFERROR('2. Roles &amp; Pricing'!Q170/40,"")</f>
        <v>0.8</v>
      </c>
      <c r="W15" s="709">
        <f>IFERROR('2. Roles &amp; Pricing'!R170/40,"")</f>
        <v>0.8</v>
      </c>
      <c r="X15" s="708">
        <f>IFERROR('2. Roles &amp; Pricing'!S170/40,"")</f>
        <v>0.8</v>
      </c>
      <c r="Y15" s="708">
        <f>IFERROR('2. Roles &amp; Pricing'!T170/40,"")</f>
        <v>0.8</v>
      </c>
      <c r="Z15" s="708">
        <f>IFERROR('2. Roles &amp; Pricing'!U170/40,"")</f>
        <v>0.8</v>
      </c>
      <c r="AA15" s="708">
        <f>IFERROR('2. Roles &amp; Pricing'!Y170/40,"")</f>
        <v>0.8</v>
      </c>
      <c r="AB15" s="708">
        <f>IFERROR('2. Roles &amp; Pricing'!Z170/40,"")</f>
        <v>0.8</v>
      </c>
      <c r="AC15" s="708">
        <f>IFERROR('2. Roles &amp; Pricing'!AA170/40,"")</f>
        <v>0.8</v>
      </c>
      <c r="AD15" s="708">
        <f>IFERROR('2. Roles &amp; Pricing'!AB170/40,"")</f>
        <v>0.8</v>
      </c>
      <c r="AE15" s="708">
        <f>IFERROR('2. Roles &amp; Pricing'!AG170/40,"")</f>
        <v>0.8</v>
      </c>
      <c r="AF15" s="708">
        <f>IFERROR('2. Roles &amp; Pricing'!AH170/40,"")</f>
        <v>0.8</v>
      </c>
      <c r="AG15" s="708">
        <f>IFERROR('2. Roles &amp; Pricing'!AI170/40,"")</f>
        <v>0.8</v>
      </c>
      <c r="AH15" s="708">
        <f>IFERROR('2. Roles &amp; Pricing'!AJ170/40,"")</f>
        <v>0.8</v>
      </c>
      <c r="AI15" s="708">
        <f>IFERROR('2. Roles &amp; Pricing'!AK170/40,"")</f>
        <v>0.8</v>
      </c>
      <c r="AJ15" s="708">
        <f>IFERROR('2. Roles &amp; Pricing'!AL170/40,"")</f>
        <v>0.8</v>
      </c>
      <c r="AK15" s="708">
        <f>IFERROR('2. Roles &amp; Pricing'!AM170/40,"")</f>
        <v>0.8</v>
      </c>
      <c r="AL15" s="708">
        <f>IFERROR('2. Roles &amp; Pricing'!AN170/40,"")</f>
        <v>0.8</v>
      </c>
      <c r="AM15" s="708">
        <f>IFERROR('2. Roles &amp; Pricing'!AO170/40,"")</f>
        <v>0.8</v>
      </c>
      <c r="AN15" s="708">
        <f>IFERROR('2. Roles &amp; Pricing'!AP170/40,"")</f>
        <v>0.8</v>
      </c>
      <c r="AO15" s="708">
        <f>IFERROR('2. Roles &amp; Pricing'!AQ170/40,"")</f>
        <v>0.8</v>
      </c>
      <c r="AP15" s="708">
        <f>IFERROR('2. Roles &amp; Pricing'!AR170/40,"")</f>
        <v>0.8</v>
      </c>
      <c r="AQ15" s="708">
        <f>IFERROR('2. Roles &amp; Pricing'!AS170/40,"")</f>
        <v>0.8</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24.000000000000011</v>
      </c>
      <c r="BO15" s="198">
        <f>+BN15*5</f>
        <v>120.00000000000006</v>
      </c>
      <c r="BP15" s="199">
        <f>'2. Roles &amp; Pricing'!D291</f>
        <v>153600</v>
      </c>
      <c r="BQ15" s="199">
        <f>'2. Roles &amp; Pricing'!F291</f>
        <v>76800</v>
      </c>
      <c r="BR15" s="623">
        <f>'2. Roles &amp; Pricing'!F291</f>
        <v>76800</v>
      </c>
      <c r="BS15" s="200">
        <f>'2. Roles &amp; Pricing'!I291</f>
        <v>160</v>
      </c>
      <c r="BT15" s="201">
        <f>BP15</f>
        <v>153600</v>
      </c>
      <c r="BU15" s="202">
        <f t="shared" ref="BU15:BU32" si="48">BO15*8</f>
        <v>960.00000000000045</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0.5</v>
      </c>
      <c r="O16" s="707">
        <f>IFERROR('2. Roles &amp; Pricing'!I171/40,"")</f>
        <v>0.5</v>
      </c>
      <c r="P16" s="707">
        <f>IFERROR('2. Roles &amp; Pricing'!K171/40,"")</f>
        <v>0.5</v>
      </c>
      <c r="Q16" s="707">
        <f>IFERROR('2. Roles &amp; Pricing'!L171/40,"")</f>
        <v>0.5</v>
      </c>
      <c r="R16" s="707">
        <f>IFERROR('2. Roles &amp; Pricing'!M171/40,"")</f>
        <v>0.5</v>
      </c>
      <c r="S16" s="707">
        <f>IFERROR('2. Roles &amp; Pricing'!N171/40,"")</f>
        <v>0.5</v>
      </c>
      <c r="T16" s="707">
        <f>IFERROR('2. Roles &amp; Pricing'!O171/40,"")</f>
        <v>0.5</v>
      </c>
      <c r="U16" s="709">
        <f>IFERROR('2. Roles &amp; Pricing'!P171/40,"")</f>
        <v>0.5</v>
      </c>
      <c r="V16" s="709">
        <f>IFERROR('2. Roles &amp; Pricing'!Q171/40,"")</f>
        <v>0.5</v>
      </c>
      <c r="W16" s="709">
        <f>IFERROR('2. Roles &amp; Pricing'!R171/40,"")</f>
        <v>0.5</v>
      </c>
      <c r="X16" s="708">
        <f>IFERROR('2. Roles &amp; Pricing'!S171/40,"")</f>
        <v>0.5</v>
      </c>
      <c r="Y16" s="708">
        <f>IFERROR('2. Roles &amp; Pricing'!T171/40,"")</f>
        <v>0.5</v>
      </c>
      <c r="Z16" s="708">
        <f>IFERROR('2. Roles &amp; Pricing'!U171/40,"")</f>
        <v>0.5</v>
      </c>
      <c r="AA16" s="708">
        <f>IFERROR('2. Roles &amp; Pricing'!Y171/40,"")</f>
        <v>0.5</v>
      </c>
      <c r="AB16" s="708">
        <f>IFERROR('2. Roles &amp; Pricing'!Z171/40,"")</f>
        <v>0.5</v>
      </c>
      <c r="AC16" s="708">
        <f>IFERROR('2. Roles &amp; Pricing'!AA171/40,"")</f>
        <v>0.5</v>
      </c>
      <c r="AD16" s="708">
        <f>IFERROR('2. Roles &amp; Pricing'!AB171/40,"")</f>
        <v>0.5</v>
      </c>
      <c r="AE16" s="708">
        <f>IFERROR('2. Roles &amp; Pricing'!AG171/40,"")</f>
        <v>0.5</v>
      </c>
      <c r="AF16" s="708">
        <f>IFERROR('2. Roles &amp; Pricing'!AH171/40,"")</f>
        <v>0.5</v>
      </c>
      <c r="AG16" s="708">
        <f>IFERROR('2. Roles &amp; Pricing'!AI171/40,"")</f>
        <v>0.5</v>
      </c>
      <c r="AH16" s="708">
        <f>IFERROR('2. Roles &amp; Pricing'!AJ171/40,"")</f>
        <v>0.5</v>
      </c>
      <c r="AI16" s="708">
        <f>IFERROR('2. Roles &amp; Pricing'!AK171/40,"")</f>
        <v>0.5</v>
      </c>
      <c r="AJ16" s="708">
        <f>IFERROR('2. Roles &amp; Pricing'!AL171/40,"")</f>
        <v>0.5</v>
      </c>
      <c r="AK16" s="708">
        <f>IFERROR('2. Roles &amp; Pricing'!AM171/40,"")</f>
        <v>0.5</v>
      </c>
      <c r="AL16" s="708">
        <f>IFERROR('2. Roles &amp; Pricing'!AN171/40,"")</f>
        <v>0.5</v>
      </c>
      <c r="AM16" s="708">
        <f>IFERROR('2. Roles &amp; Pricing'!AO171/40,"")</f>
        <v>0.5</v>
      </c>
      <c r="AN16" s="708">
        <f>IFERROR('2. Roles &amp; Pricing'!AP171/40,"")</f>
        <v>0.5</v>
      </c>
      <c r="AO16" s="708">
        <f>IFERROR('2. Roles &amp; Pricing'!AQ171/40,"")</f>
        <v>0.5</v>
      </c>
      <c r="AP16" s="708">
        <f>IFERROR('2. Roles &amp; Pricing'!AR171/40,"")</f>
        <v>0.5</v>
      </c>
      <c r="AQ16" s="708">
        <f>IFERROR('2. Roles &amp; Pricing'!AS171/40,"")</f>
        <v>0.5</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15</v>
      </c>
      <c r="BO16" s="213">
        <f t="shared" ref="BO16:BO32" si="50">+BN16*5</f>
        <v>75</v>
      </c>
      <c r="BP16" s="199">
        <f>'2. Roles &amp; Pricing'!D292</f>
        <v>33000</v>
      </c>
      <c r="BQ16" s="199">
        <f>'2. Roles &amp; Pricing'!F292</f>
        <v>10800</v>
      </c>
      <c r="BR16" s="623">
        <f>'2. Roles &amp; Pricing'!F292</f>
        <v>10800</v>
      </c>
      <c r="BS16" s="200">
        <f>'2. Roles &amp; Pricing'!I292</f>
        <v>55</v>
      </c>
      <c r="BT16" s="201">
        <f t="shared" ref="BT16:BT32" si="51">BP16</f>
        <v>33000</v>
      </c>
      <c r="BU16" s="214">
        <f t="shared" si="48"/>
        <v>600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7</v>
      </c>
      <c r="B21" s="206">
        <v>3</v>
      </c>
      <c r="C21" s="207" t="str">
        <f t="shared" si="46"/>
        <v>.NET__DOTNET</v>
      </c>
      <c r="D21" s="207" t="str">
        <f t="shared" si="47"/>
        <v>.NET__DOTNET__.NET_.NET</v>
      </c>
      <c r="E21" s="207">
        <v>21</v>
      </c>
      <c r="F21" s="207">
        <v>8</v>
      </c>
      <c r="G21" s="208" t="str">
        <f>'2. Roles &amp; Pricing'!D54</f>
        <v>.NET</v>
      </c>
      <c r="H21" s="209" t="str">
        <f>'2. Roles &amp; Pricing'!E54</f>
        <v>DOTNET</v>
      </c>
      <c r="I21" s="210" t="str">
        <f>'2. Roles &amp; Pricing'!F54</f>
        <v>.NET_.NET</v>
      </c>
      <c r="J21" s="210" t="str">
        <f>'2. Roles &amp; Pricing'!K54</f>
        <v>Multi-Solution Architect</v>
      </c>
      <c r="K21" s="197" t="str">
        <f>'2. Roles &amp; Pricing'!W54</f>
        <v>Offshore</v>
      </c>
      <c r="L21" s="209"/>
      <c r="M21" s="210"/>
      <c r="N21" s="707">
        <f>IFERROR('2. Roles &amp; Pricing'!F176/40,"")</f>
        <v>1</v>
      </c>
      <c r="O21" s="707">
        <f>IFERROR('2. Roles &amp; Pricing'!I176/40,"")</f>
        <v>1</v>
      </c>
      <c r="P21" s="707">
        <f>IFERROR('2. Roles &amp; Pricing'!K176/40,"")</f>
        <v>1</v>
      </c>
      <c r="Q21" s="707">
        <f>IFERROR('2. Roles &amp; Pricing'!L176/40,"")</f>
        <v>1</v>
      </c>
      <c r="R21" s="707">
        <f>IFERROR('2. Roles &amp; Pricing'!M176/40,"")</f>
        <v>1</v>
      </c>
      <c r="S21" s="707">
        <f>IFERROR('2. Roles &amp; Pricing'!N176/40,"")</f>
        <v>1</v>
      </c>
      <c r="T21" s="707">
        <f>IFERROR('2. Roles &amp; Pricing'!O176/40,"")</f>
        <v>1</v>
      </c>
      <c r="U21" s="709">
        <f>IFERROR('2. Roles &amp; Pricing'!P176/40,"")</f>
        <v>1</v>
      </c>
      <c r="V21" s="709">
        <f>IFERROR('2. Roles &amp; Pricing'!Q176/40,"")</f>
        <v>1</v>
      </c>
      <c r="W21" s="709">
        <f>IFERROR('2. Roles &amp; Pricing'!R176/40,"")</f>
        <v>1</v>
      </c>
      <c r="X21" s="708">
        <f>IFERROR('2. Roles &amp; Pricing'!S176/40,"")</f>
        <v>1</v>
      </c>
      <c r="Y21" s="708">
        <f>IFERROR('2. Roles &amp; Pricing'!T176/40,"")</f>
        <v>1</v>
      </c>
      <c r="Z21" s="708">
        <f>IFERROR('2. Roles &amp; Pricing'!U176/40,"")</f>
        <v>1</v>
      </c>
      <c r="AA21" s="708">
        <f>IFERROR('2. Roles &amp; Pricing'!Y176/40,"")</f>
        <v>1</v>
      </c>
      <c r="AB21" s="708">
        <f>IFERROR('2. Roles &amp; Pricing'!Z176/40,"")</f>
        <v>1</v>
      </c>
      <c r="AC21" s="708">
        <f>IFERROR('2. Roles &amp; Pricing'!AA176/40,"")</f>
        <v>1</v>
      </c>
      <c r="AD21" s="708">
        <f>IFERROR('2. Roles &amp; Pricing'!AB176/40,"")</f>
        <v>1</v>
      </c>
      <c r="AE21" s="708">
        <f>IFERROR('2. Roles &amp; Pricing'!AG176/40,"")</f>
        <v>1</v>
      </c>
      <c r="AF21" s="708">
        <f>IFERROR('2. Roles &amp; Pricing'!AH176/40,"")</f>
        <v>1</v>
      </c>
      <c r="AG21" s="708">
        <f>IFERROR('2. Roles &amp; Pricing'!AI176/40,"")</f>
        <v>1</v>
      </c>
      <c r="AH21" s="708">
        <f>IFERROR('2. Roles &amp; Pricing'!AJ176/40,"")</f>
        <v>1</v>
      </c>
      <c r="AI21" s="708">
        <f>IFERROR('2. Roles &amp; Pricing'!AK176/40,"")</f>
        <v>1</v>
      </c>
      <c r="AJ21" s="708">
        <f>IFERROR('2. Roles &amp; Pricing'!AL176/40,"")</f>
        <v>1</v>
      </c>
      <c r="AK21" s="708">
        <f>IFERROR('2. Roles &amp; Pricing'!AM176/40,"")</f>
        <v>1</v>
      </c>
      <c r="AL21" s="708">
        <f>IFERROR('2. Roles &amp; Pricing'!AN176/40,"")</f>
        <v>1</v>
      </c>
      <c r="AM21" s="708">
        <f>IFERROR('2. Roles &amp; Pricing'!AO176/40,"")</f>
        <v>1</v>
      </c>
      <c r="AN21" s="708">
        <f>IFERROR('2. Roles &amp; Pricing'!AP176/40,"")</f>
        <v>1</v>
      </c>
      <c r="AO21" s="708">
        <f>IFERROR('2. Roles &amp; Pricing'!AQ176/40,"")</f>
        <v>1</v>
      </c>
      <c r="AP21" s="708">
        <f>IFERROR('2. Roles &amp; Pricing'!AR176/40,"")</f>
        <v>1</v>
      </c>
      <c r="AQ21" s="708">
        <f>IFERROR('2. Roles &amp; Pricing'!AS176/40,"")</f>
        <v>1</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30</v>
      </c>
      <c r="BO21" s="213">
        <f t="shared" si="50"/>
        <v>150</v>
      </c>
      <c r="BP21" s="199">
        <f>'2. Roles &amp; Pricing'!D297</f>
        <v>150000</v>
      </c>
      <c r="BQ21" s="199">
        <f>'2. Roles &amp; Pricing'!F297</f>
        <v>75000</v>
      </c>
      <c r="BR21" s="623">
        <f>'2. Roles &amp; Pricing'!F297</f>
        <v>75000</v>
      </c>
      <c r="BS21" s="200">
        <f>'2. Roles &amp; Pricing'!I297</f>
        <v>125</v>
      </c>
      <c r="BT21" s="201">
        <f t="shared" si="51"/>
        <v>150000</v>
      </c>
      <c r="BU21" s="214">
        <f t="shared" si="48"/>
        <v>1200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f>IFERROR('2. Roles &amp; Pricing'!F177/40,"")</f>
        <v>1</v>
      </c>
      <c r="O22" s="707">
        <f>IFERROR('2. Roles &amp; Pricing'!I177/40,"")</f>
        <v>1</v>
      </c>
      <c r="P22" s="707">
        <f>IFERROR('2. Roles &amp; Pricing'!K177/40,"")</f>
        <v>1</v>
      </c>
      <c r="Q22" s="707">
        <f>IFERROR('2. Roles &amp; Pricing'!L177/40,"")</f>
        <v>1</v>
      </c>
      <c r="R22" s="707">
        <f>IFERROR('2. Roles &amp; Pricing'!M177/40,"")</f>
        <v>1</v>
      </c>
      <c r="S22" s="707">
        <f>IFERROR('2. Roles &amp; Pricing'!N177/40,"")</f>
        <v>1</v>
      </c>
      <c r="T22" s="707">
        <f>IFERROR('2. Roles &amp; Pricing'!O177/40,"")</f>
        <v>1</v>
      </c>
      <c r="U22" s="709">
        <f>IFERROR('2. Roles &amp; Pricing'!P177/40,"")</f>
        <v>1</v>
      </c>
      <c r="V22" s="709">
        <f>IFERROR('2. Roles &amp; Pricing'!Q177/40,"")</f>
        <v>1</v>
      </c>
      <c r="W22" s="709">
        <f>IFERROR('2. Roles &amp; Pricing'!R177/40,"")</f>
        <v>1</v>
      </c>
      <c r="X22" s="708">
        <f>IFERROR('2. Roles &amp; Pricing'!S177/40,"")</f>
        <v>1</v>
      </c>
      <c r="Y22" s="708">
        <f>IFERROR('2. Roles &amp; Pricing'!T177/40,"")</f>
        <v>1</v>
      </c>
      <c r="Z22" s="708">
        <f>IFERROR('2. Roles &amp; Pricing'!U177/40,"")</f>
        <v>1</v>
      </c>
      <c r="AA22" s="708">
        <f>IFERROR('2. Roles &amp; Pricing'!Y177/40,"")</f>
        <v>1</v>
      </c>
      <c r="AB22" s="708">
        <f>IFERROR('2. Roles &amp; Pricing'!Z177/40,"")</f>
        <v>1</v>
      </c>
      <c r="AC22" s="708">
        <f>IFERROR('2. Roles &amp; Pricing'!AA177/40,"")</f>
        <v>1</v>
      </c>
      <c r="AD22" s="708">
        <f>IFERROR('2. Roles &amp; Pricing'!AB177/40,"")</f>
        <v>1</v>
      </c>
      <c r="AE22" s="708">
        <f>IFERROR('2. Roles &amp; Pricing'!AG177/40,"")</f>
        <v>1</v>
      </c>
      <c r="AF22" s="708">
        <f>IFERROR('2. Roles &amp; Pricing'!AH177/40,"")</f>
        <v>1</v>
      </c>
      <c r="AG22" s="708">
        <f>IFERROR('2. Roles &amp; Pricing'!AI177/40,"")</f>
        <v>1</v>
      </c>
      <c r="AH22" s="708">
        <f>IFERROR('2. Roles &amp; Pricing'!AJ177/40,"")</f>
        <v>1</v>
      </c>
      <c r="AI22" s="708">
        <f>IFERROR('2. Roles &amp; Pricing'!AK177/40,"")</f>
        <v>1</v>
      </c>
      <c r="AJ22" s="708">
        <f>IFERROR('2. Roles &amp; Pricing'!AL177/40,"")</f>
        <v>1</v>
      </c>
      <c r="AK22" s="708">
        <f>IFERROR('2. Roles &amp; Pricing'!AM177/40,"")</f>
        <v>1</v>
      </c>
      <c r="AL22" s="708">
        <f>IFERROR('2. Roles &amp; Pricing'!AN177/40,"")</f>
        <v>1</v>
      </c>
      <c r="AM22" s="708">
        <f>IFERROR('2. Roles &amp; Pricing'!AO177/40,"")</f>
        <v>1</v>
      </c>
      <c r="AN22" s="708">
        <f>IFERROR('2. Roles &amp; Pricing'!AP177/40,"")</f>
        <v>1</v>
      </c>
      <c r="AO22" s="708">
        <f>IFERROR('2. Roles &amp; Pricing'!AQ177/40,"")</f>
        <v>1</v>
      </c>
      <c r="AP22" s="708">
        <f>IFERROR('2. Roles &amp; Pricing'!AR177/40,"")</f>
        <v>1</v>
      </c>
      <c r="AQ22" s="708">
        <f>IFERROR('2. Roles &amp; Pricing'!AS177/40,"")</f>
        <v>1</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30</v>
      </c>
      <c r="BO22" s="213">
        <f t="shared" si="50"/>
        <v>150</v>
      </c>
      <c r="BP22" s="199">
        <f>'2. Roles &amp; Pricing'!D298</f>
        <v>0</v>
      </c>
      <c r="BQ22" s="199">
        <f>'2. Roles &amp; Pricing'!F298</f>
        <v>0</v>
      </c>
      <c r="BR22" s="623">
        <f>'2. Roles &amp; Pricing'!F298</f>
        <v>0</v>
      </c>
      <c r="BS22" s="200">
        <f>'2. Roles &amp; Pricing'!I298</f>
        <v>0</v>
      </c>
      <c r="BT22" s="201">
        <f t="shared" si="51"/>
        <v>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70"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71"/>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80"/>
      <c r="B33" s="1781"/>
      <c r="C33" s="1781"/>
      <c r="D33" s="1781"/>
      <c r="E33" s="1781"/>
      <c r="F33" s="1781"/>
      <c r="G33" s="1781"/>
      <c r="H33" s="1781"/>
      <c r="I33" s="1782"/>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213</v>
      </c>
      <c r="BO33" s="250">
        <f>SUM(BO15:BO32)</f>
        <v>1065</v>
      </c>
      <c r="BP33" s="251">
        <f>SUM(BP15:BP32)</f>
        <v>862200</v>
      </c>
      <c r="BQ33" s="199">
        <f>'2. Roles &amp; Pricing'!F309</f>
        <v>0</v>
      </c>
      <c r="BR33" s="252"/>
      <c r="BS33" s="253"/>
      <c r="BT33" s="254">
        <f>SUM(BT15:BT32)</f>
        <v>862200</v>
      </c>
      <c r="BU33" s="255">
        <f>SUM(BU15:BU32)</f>
        <v>8520</v>
      </c>
    </row>
    <row r="34" spans="1:75" s="204" customFormat="1" ht="14.4" thickBot="1" x14ac:dyDescent="0.35">
      <c r="A34" s="1780"/>
      <c r="B34" s="1781"/>
      <c r="C34" s="1781"/>
      <c r="D34" s="1781"/>
      <c r="E34" s="1781"/>
      <c r="F34" s="1781"/>
      <c r="G34" s="1781"/>
      <c r="H34" s="1781"/>
      <c r="I34" s="1782"/>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72" t="s">
        <v>2021</v>
      </c>
      <c r="BO35" s="1773"/>
      <c r="BP35" s="864">
        <v>0</v>
      </c>
      <c r="BR35" s="141"/>
      <c r="BS35" s="146" t="s">
        <v>2022</v>
      </c>
      <c r="BT35" s="1622">
        <f>IF(H5="Fixed Price",'3. Financial Inputs'!C67,'3. Financial Inputs'!C65)</f>
        <v>43110</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74" t="s">
        <v>2024</v>
      </c>
      <c r="BO36" s="1775"/>
      <c r="BP36" s="272">
        <f>+BP33-BP35</f>
        <v>862200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28740</v>
      </c>
      <c r="O37" s="275">
        <f t="shared" si="52"/>
        <v>28740</v>
      </c>
      <c r="P37" s="276">
        <f t="shared" si="52"/>
        <v>28740</v>
      </c>
      <c r="Q37" s="277">
        <f t="shared" si="52"/>
        <v>28740</v>
      </c>
      <c r="R37" s="278">
        <f t="shared" si="52"/>
        <v>28740</v>
      </c>
      <c r="S37" s="277">
        <f t="shared" si="52"/>
        <v>28740</v>
      </c>
      <c r="T37" s="278">
        <f t="shared" si="52"/>
        <v>28740</v>
      </c>
      <c r="U37" s="277">
        <f t="shared" si="52"/>
        <v>28740</v>
      </c>
      <c r="V37" s="278">
        <f t="shared" si="52"/>
        <v>28740</v>
      </c>
      <c r="W37" s="277">
        <f t="shared" si="52"/>
        <v>28740</v>
      </c>
      <c r="X37" s="278">
        <f t="shared" si="52"/>
        <v>28740</v>
      </c>
      <c r="Y37" s="277">
        <f t="shared" si="52"/>
        <v>28740</v>
      </c>
      <c r="Z37" s="278">
        <f t="shared" si="52"/>
        <v>28740</v>
      </c>
      <c r="AA37" s="277">
        <f t="shared" si="52"/>
        <v>28740</v>
      </c>
      <c r="AB37" s="278">
        <f t="shared" si="52"/>
        <v>28740</v>
      </c>
      <c r="AC37" s="277">
        <f t="shared" si="52"/>
        <v>28740</v>
      </c>
      <c r="AD37" s="278">
        <f t="shared" si="52"/>
        <v>28740</v>
      </c>
      <c r="AE37" s="277">
        <f t="shared" si="52"/>
        <v>28740</v>
      </c>
      <c r="AF37" s="278">
        <f t="shared" si="52"/>
        <v>28740</v>
      </c>
      <c r="AG37" s="277">
        <f t="shared" si="52"/>
        <v>28740</v>
      </c>
      <c r="AH37" s="277">
        <f t="shared" si="52"/>
        <v>28740</v>
      </c>
      <c r="AI37" s="278">
        <f t="shared" si="52"/>
        <v>28740</v>
      </c>
      <c r="AJ37" s="277">
        <f t="shared" si="52"/>
        <v>28740</v>
      </c>
      <c r="AK37" s="278">
        <f t="shared" si="52"/>
        <v>28740</v>
      </c>
      <c r="AL37" s="277">
        <f t="shared" si="52"/>
        <v>28740</v>
      </c>
      <c r="AM37" s="278">
        <f t="shared" si="52"/>
        <v>28740</v>
      </c>
      <c r="AN37" s="277">
        <f t="shared" si="52"/>
        <v>28740</v>
      </c>
      <c r="AO37" s="278">
        <f t="shared" si="52"/>
        <v>28740</v>
      </c>
      <c r="AP37" s="277">
        <f t="shared" si="52"/>
        <v>28740</v>
      </c>
      <c r="AQ37" s="278">
        <f t="shared" si="52"/>
        <v>28740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776" t="s">
        <v>2025</v>
      </c>
      <c r="BO37" s="1777"/>
      <c r="BP37" s="279">
        <f>+BP36*1.4</f>
        <v>1207080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28740</v>
      </c>
      <c r="O38" s="1753">
        <f>SUM(O37:Q37)</f>
        <v>86220</v>
      </c>
      <c r="P38" s="1754"/>
      <c r="Q38" s="1755"/>
      <c r="R38" s="1756">
        <f>SUM(R37:S37)</f>
        <v>57480</v>
      </c>
      <c r="S38" s="1757"/>
      <c r="T38" s="1753">
        <f>SUM(T37:U37)</f>
        <v>57480</v>
      </c>
      <c r="U38" s="1755"/>
      <c r="V38" s="1756">
        <f>SUM(V37:AS37)</f>
        <v>632280</v>
      </c>
      <c r="W38" s="1758"/>
      <c r="X38" s="1758"/>
      <c r="Y38" s="1758"/>
      <c r="Z38" s="1758"/>
      <c r="AA38" s="1758"/>
      <c r="AB38" s="1758"/>
      <c r="AC38" s="1758"/>
      <c r="AD38" s="1758"/>
      <c r="AE38" s="1758"/>
      <c r="AF38" s="1758"/>
      <c r="AG38" s="1758"/>
      <c r="AH38" s="1758"/>
      <c r="AI38" s="1758"/>
      <c r="AJ38" s="1758"/>
      <c r="AK38" s="1758"/>
      <c r="AL38" s="1758"/>
      <c r="AM38" s="1758"/>
      <c r="AN38" s="1758"/>
      <c r="AO38" s="1758"/>
      <c r="AP38" s="1758"/>
      <c r="AQ38" s="1758"/>
      <c r="AR38" s="1758"/>
      <c r="AS38" s="1757"/>
      <c r="AT38" s="1753">
        <f>SUM(AT37:AU37)</f>
        <v>0</v>
      </c>
      <c r="AU38" s="1755"/>
      <c r="AV38" s="1756">
        <f>SUM(AV37:AW37)</f>
        <v>0</v>
      </c>
      <c r="AW38" s="1757"/>
      <c r="AX38" s="1753">
        <f>SUM(AX37:AY37)</f>
        <v>0</v>
      </c>
      <c r="AY38" s="1755"/>
      <c r="AZ38" s="1756">
        <f>SUM(AZ37:BA37)</f>
        <v>0</v>
      </c>
      <c r="BA38" s="1757"/>
      <c r="BB38" s="1753">
        <f>SUM(BB37:BC37)</f>
        <v>0</v>
      </c>
      <c r="BC38" s="1755"/>
      <c r="BD38" s="1753">
        <f>SUM(BD37:BE37)</f>
        <v>0</v>
      </c>
      <c r="BE38" s="1755"/>
      <c r="BF38" s="1756">
        <f>SUM(BF37:BG37)</f>
        <v>0</v>
      </c>
      <c r="BG38" s="1757"/>
      <c r="BH38" s="1753">
        <f>SUM(BH37:BI37)</f>
        <v>0</v>
      </c>
      <c r="BI38" s="1755"/>
      <c r="BJ38" s="1756">
        <f>SUM(BJ37:BK37)</f>
        <v>0</v>
      </c>
      <c r="BK38" s="1757"/>
      <c r="BL38" s="1753">
        <f>SUM(BL37:BM37)</f>
        <v>0</v>
      </c>
      <c r="BM38" s="1755"/>
      <c r="BN38" s="1778" t="s">
        <v>2030</v>
      </c>
      <c r="BO38" s="1779"/>
      <c r="BP38" s="283">
        <f>+BP36*1.2</f>
        <v>1034640</v>
      </c>
      <c r="BR38" s="141"/>
      <c r="BS38" s="284" t="s">
        <v>2031</v>
      </c>
      <c r="BT38" s="285">
        <f>BP36-BP35</f>
        <v>862200</v>
      </c>
      <c r="BU38" s="286">
        <f>(BT38-BQ33)/BT38</f>
        <v>1</v>
      </c>
      <c r="BV38" s="285">
        <f>BT38/BU33</f>
        <v>101.19718309859155</v>
      </c>
    </row>
    <row r="39" spans="1:75" s="140" customFormat="1" ht="14.4" thickBot="1" x14ac:dyDescent="0.3">
      <c r="A39" s="141"/>
      <c r="B39" s="262"/>
      <c r="C39" s="262"/>
      <c r="D39" s="262"/>
      <c r="E39" s="262"/>
      <c r="F39" s="262"/>
      <c r="J39" s="287" t="s">
        <v>2032</v>
      </c>
      <c r="K39" s="147"/>
      <c r="N39" s="1766">
        <f>SUM(N37:Q37)</f>
        <v>114960</v>
      </c>
      <c r="O39" s="1767"/>
      <c r="P39" s="1767"/>
      <c r="Q39" s="1767"/>
      <c r="R39" s="1768">
        <f>SUM(R37:U37)</f>
        <v>114960</v>
      </c>
      <c r="S39" s="1769"/>
      <c r="T39" s="1769"/>
      <c r="U39" s="1769"/>
      <c r="V39" s="1766">
        <f>SUM(V37:BE37)</f>
        <v>632280</v>
      </c>
      <c r="W39" s="1767"/>
      <c r="X39" s="1767"/>
      <c r="Y39" s="1767"/>
      <c r="Z39" s="1767"/>
      <c r="AA39" s="1767"/>
      <c r="AB39" s="1767"/>
      <c r="AC39" s="1767"/>
      <c r="AD39" s="1767"/>
      <c r="AE39" s="1767"/>
      <c r="AF39" s="1767"/>
      <c r="AG39" s="1767"/>
      <c r="AH39" s="1767"/>
      <c r="AI39" s="1767"/>
      <c r="AJ39" s="1767"/>
      <c r="AK39" s="1767"/>
      <c r="AL39" s="1767"/>
      <c r="AM39" s="1767"/>
      <c r="AN39" s="1767"/>
      <c r="AO39" s="1767"/>
      <c r="AP39" s="1767"/>
      <c r="AQ39" s="1767"/>
      <c r="AR39" s="1767"/>
      <c r="AS39" s="1767"/>
      <c r="AT39" s="1767"/>
      <c r="AU39" s="1767"/>
      <c r="AV39" s="1767"/>
      <c r="AW39" s="1767"/>
      <c r="AX39" s="1767"/>
      <c r="AY39" s="1767"/>
      <c r="AZ39" s="1767"/>
      <c r="BA39" s="1767"/>
      <c r="BB39" s="1767"/>
      <c r="BC39" s="1767"/>
      <c r="BD39" s="1767"/>
      <c r="BE39" s="1767"/>
      <c r="BF39" s="1768">
        <f>SUM(BF37:BI37)</f>
        <v>0</v>
      </c>
      <c r="BG39" s="1769"/>
      <c r="BH39" s="1769"/>
      <c r="BI39" s="1769"/>
      <c r="BJ39" s="1766">
        <f>SUM(BJ37:BM37)</f>
        <v>0</v>
      </c>
      <c r="BK39" s="1767"/>
      <c r="BL39" s="1767"/>
      <c r="BM39" s="1767"/>
      <c r="BN39" s="1762" t="s">
        <v>2033</v>
      </c>
      <c r="BO39" s="1763"/>
      <c r="BP39" s="288">
        <f>+BP36*1.3</f>
        <v>1120860</v>
      </c>
      <c r="BR39" s="141"/>
      <c r="BS39" s="289" t="s">
        <v>2034</v>
      </c>
      <c r="BT39" s="290">
        <f>BT33-BT35</f>
        <v>819090</v>
      </c>
      <c r="BU39" s="291">
        <f>(BT39-BQ33)/BT39</f>
        <v>1</v>
      </c>
      <c r="BV39" s="290">
        <f>BT39/BU33</f>
        <v>96.137323943661968</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764" t="s">
        <v>2038</v>
      </c>
      <c r="BO41" s="1765"/>
      <c r="BP41" s="293">
        <f>BT33</f>
        <v>862200</v>
      </c>
      <c r="BQ41" s="294" t="s">
        <v>2039</v>
      </c>
      <c r="BR41" s="141"/>
    </row>
    <row r="42" spans="1:75" x14ac:dyDescent="0.25">
      <c r="J42" s="273" t="s">
        <v>180</v>
      </c>
      <c r="N42" s="274">
        <f t="shared" ref="N42:AS42" si="54">SUMPRODUCT(N15:N32,$BS$15:$BS$32)*40*1.2</f>
        <v>34488</v>
      </c>
      <c r="O42" s="278">
        <f t="shared" si="54"/>
        <v>34488</v>
      </c>
      <c r="P42" s="276">
        <f t="shared" si="54"/>
        <v>34488</v>
      </c>
      <c r="Q42" s="277">
        <f t="shared" si="54"/>
        <v>34488</v>
      </c>
      <c r="R42" s="278">
        <f t="shared" si="54"/>
        <v>34488</v>
      </c>
      <c r="S42" s="277">
        <f t="shared" si="54"/>
        <v>34488</v>
      </c>
      <c r="T42" s="278">
        <f t="shared" si="54"/>
        <v>34488</v>
      </c>
      <c r="U42" s="277">
        <f t="shared" si="54"/>
        <v>34488</v>
      </c>
      <c r="V42" s="278">
        <f t="shared" si="54"/>
        <v>34488</v>
      </c>
      <c r="W42" s="277">
        <f t="shared" si="54"/>
        <v>34488</v>
      </c>
      <c r="X42" s="278">
        <f t="shared" si="54"/>
        <v>34488</v>
      </c>
      <c r="Y42" s="277">
        <f t="shared" si="54"/>
        <v>34488</v>
      </c>
      <c r="Z42" s="278">
        <f t="shared" si="54"/>
        <v>34488</v>
      </c>
      <c r="AA42" s="277">
        <f t="shared" si="54"/>
        <v>34488</v>
      </c>
      <c r="AB42" s="278">
        <f t="shared" si="54"/>
        <v>34488</v>
      </c>
      <c r="AC42" s="277">
        <f t="shared" si="54"/>
        <v>34488</v>
      </c>
      <c r="AD42" s="278">
        <f t="shared" si="54"/>
        <v>34488</v>
      </c>
      <c r="AE42" s="277">
        <f t="shared" si="54"/>
        <v>34488</v>
      </c>
      <c r="AF42" s="278">
        <f t="shared" si="54"/>
        <v>34488</v>
      </c>
      <c r="AG42" s="277">
        <f t="shared" si="54"/>
        <v>34488</v>
      </c>
      <c r="AH42" s="277">
        <f t="shared" si="54"/>
        <v>34488</v>
      </c>
      <c r="AI42" s="278">
        <f t="shared" si="54"/>
        <v>34488</v>
      </c>
      <c r="AJ42" s="277">
        <f t="shared" si="54"/>
        <v>34488</v>
      </c>
      <c r="AK42" s="278">
        <f t="shared" si="54"/>
        <v>34488</v>
      </c>
      <c r="AL42" s="277">
        <f t="shared" si="54"/>
        <v>34488</v>
      </c>
      <c r="AM42" s="278">
        <f t="shared" si="54"/>
        <v>34488</v>
      </c>
      <c r="AN42" s="277">
        <f t="shared" si="54"/>
        <v>34488</v>
      </c>
      <c r="AO42" s="278">
        <f t="shared" si="54"/>
        <v>34488</v>
      </c>
      <c r="AP42" s="277">
        <f t="shared" si="54"/>
        <v>34488</v>
      </c>
      <c r="AQ42" s="278">
        <f t="shared" si="54"/>
        <v>34488</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747" t="s">
        <v>2040</v>
      </c>
      <c r="BO42" s="1748"/>
      <c r="BP42" s="295"/>
      <c r="BT42" s="281" t="s">
        <v>2041</v>
      </c>
      <c r="BU42" s="281" t="s">
        <v>2042</v>
      </c>
      <c r="BV42" s="281" t="s">
        <v>2028</v>
      </c>
      <c r="BW42" s="296" t="s">
        <v>2043</v>
      </c>
    </row>
    <row r="43" spans="1:75" ht="14.4" thickBot="1" x14ac:dyDescent="0.3">
      <c r="J43" s="273" t="s">
        <v>2029</v>
      </c>
      <c r="N43" s="282">
        <f>SUM(N42)</f>
        <v>34488</v>
      </c>
      <c r="O43" s="1753">
        <f>SUM(O42:Q42)</f>
        <v>103464</v>
      </c>
      <c r="P43" s="1754"/>
      <c r="Q43" s="1755"/>
      <c r="R43" s="1756">
        <f>SUM(R42:S42)</f>
        <v>68976</v>
      </c>
      <c r="S43" s="1757"/>
      <c r="T43" s="1753">
        <f>SUM(T42:U42)</f>
        <v>68976</v>
      </c>
      <c r="U43" s="1755"/>
      <c r="V43" s="1756">
        <f>SUM(V42:AS42)</f>
        <v>758736</v>
      </c>
      <c r="W43" s="1758"/>
      <c r="X43" s="1758"/>
      <c r="Y43" s="1758"/>
      <c r="Z43" s="1758"/>
      <c r="AA43" s="1758"/>
      <c r="AB43" s="1758"/>
      <c r="AC43" s="1758"/>
      <c r="AD43" s="1758"/>
      <c r="AE43" s="1758"/>
      <c r="AF43" s="1758"/>
      <c r="AG43" s="1758"/>
      <c r="AH43" s="1758"/>
      <c r="AI43" s="1758"/>
      <c r="AJ43" s="1758"/>
      <c r="AK43" s="1758"/>
      <c r="AL43" s="1758"/>
      <c r="AM43" s="1758"/>
      <c r="AN43" s="1758"/>
      <c r="AO43" s="1758"/>
      <c r="AP43" s="1758"/>
      <c r="AQ43" s="1758"/>
      <c r="AR43" s="1758"/>
      <c r="AS43" s="1757"/>
      <c r="AT43" s="1753">
        <f>SUM(AT42:AU42)</f>
        <v>0</v>
      </c>
      <c r="AU43" s="1755"/>
      <c r="AV43" s="1756">
        <f>SUM(AV42:AW42)</f>
        <v>0</v>
      </c>
      <c r="AW43" s="1757"/>
      <c r="AX43" s="1753">
        <f>SUM(AX42:AY42)</f>
        <v>0</v>
      </c>
      <c r="AY43" s="1755"/>
      <c r="AZ43" s="1756">
        <f>SUM(AZ42:BA42)</f>
        <v>0</v>
      </c>
      <c r="BA43" s="1757"/>
      <c r="BB43" s="1753">
        <f>SUM(BB42:BC42)</f>
        <v>0</v>
      </c>
      <c r="BC43" s="1755"/>
      <c r="BD43" s="1753">
        <f>SUM(BD42:BE42)</f>
        <v>0</v>
      </c>
      <c r="BE43" s="1755"/>
      <c r="BF43" s="1756">
        <f>SUM(BF42:BG42)</f>
        <v>0</v>
      </c>
      <c r="BG43" s="1757"/>
      <c r="BH43" s="1753">
        <f>SUM(BH42:BI42)</f>
        <v>0</v>
      </c>
      <c r="BI43" s="1755"/>
      <c r="BJ43" s="1756">
        <f>SUM(BJ42:BK42)</f>
        <v>0</v>
      </c>
      <c r="BK43" s="1757"/>
      <c r="BL43" s="1753">
        <f>SUM(BL42:BM42)</f>
        <v>0</v>
      </c>
      <c r="BM43" s="1755"/>
      <c r="BN43" s="1747" t="s">
        <v>218</v>
      </c>
      <c r="BO43" s="1748"/>
      <c r="BP43" s="295"/>
      <c r="BS43" s="284" t="s">
        <v>2031</v>
      </c>
      <c r="BT43" s="285">
        <f>BP38-BP35</f>
        <v>1034640</v>
      </c>
      <c r="BU43" s="286">
        <f>(BT43-BQ33)/BT43</f>
        <v>1</v>
      </c>
      <c r="BV43" s="285">
        <f>BT43/BU33</f>
        <v>121.43661971830986</v>
      </c>
    </row>
    <row r="44" spans="1:75" ht="14.4" thickBot="1" x14ac:dyDescent="0.3">
      <c r="J44" s="287" t="s">
        <v>2032</v>
      </c>
      <c r="N44" s="1744">
        <f>SUM(N42:Q42)</f>
        <v>137952</v>
      </c>
      <c r="O44" s="1745"/>
      <c r="P44" s="1745"/>
      <c r="Q44" s="1746"/>
      <c r="R44" s="1759">
        <f t="shared" ref="R44" si="56">SUM(R42:U42)</f>
        <v>137952</v>
      </c>
      <c r="S44" s="1760"/>
      <c r="T44" s="1760"/>
      <c r="U44" s="1761"/>
      <c r="V44" s="1744">
        <f t="shared" ref="V44" si="57">SUM(V42:BE42)</f>
        <v>758736</v>
      </c>
      <c r="W44" s="1745"/>
      <c r="X44" s="1745"/>
      <c r="Y44" s="1745"/>
      <c r="Z44" s="1745"/>
      <c r="AA44" s="1745"/>
      <c r="AB44" s="1745"/>
      <c r="AC44" s="1745"/>
      <c r="AD44" s="1745"/>
      <c r="AE44" s="1745"/>
      <c r="AF44" s="1745"/>
      <c r="AG44" s="1745"/>
      <c r="AH44" s="1745"/>
      <c r="AI44" s="1745"/>
      <c r="AJ44" s="1745"/>
      <c r="AK44" s="1745"/>
      <c r="AL44" s="1745"/>
      <c r="AM44" s="1745"/>
      <c r="AN44" s="1745"/>
      <c r="AO44" s="1745"/>
      <c r="AP44" s="1745"/>
      <c r="AQ44" s="1745"/>
      <c r="AR44" s="1745"/>
      <c r="AS44" s="1745"/>
      <c r="AT44" s="1745"/>
      <c r="AU44" s="1745"/>
      <c r="AV44" s="1745"/>
      <c r="AW44" s="1745"/>
      <c r="AX44" s="1745"/>
      <c r="AY44" s="1745"/>
      <c r="AZ44" s="1745"/>
      <c r="BA44" s="1745"/>
      <c r="BB44" s="1745"/>
      <c r="BC44" s="1745"/>
      <c r="BD44" s="1745"/>
      <c r="BE44" s="1746"/>
      <c r="BF44" s="1759">
        <f t="shared" ref="BF44" si="58">SUM(BF42:BI42)</f>
        <v>0</v>
      </c>
      <c r="BG44" s="1760"/>
      <c r="BH44" s="1760"/>
      <c r="BI44" s="1761"/>
      <c r="BJ44" s="1744">
        <f t="shared" ref="BJ44" si="59">SUM(BJ42:BM42)</f>
        <v>0</v>
      </c>
      <c r="BK44" s="1745"/>
      <c r="BL44" s="1745"/>
      <c r="BM44" s="1746"/>
      <c r="BN44" s="1747" t="s">
        <v>219</v>
      </c>
      <c r="BO44" s="1748"/>
      <c r="BP44" s="295"/>
      <c r="BS44" s="289" t="s">
        <v>2034</v>
      </c>
      <c r="BT44" s="290">
        <f>(BT33-BT35)*1.2</f>
        <v>982908</v>
      </c>
      <c r="BU44" s="291">
        <f>(BT44-BQ33)/BT44</f>
        <v>1</v>
      </c>
      <c r="BV44" s="290">
        <f>BT44/BU33</f>
        <v>115.36478873239436</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751" t="s">
        <v>2044</v>
      </c>
      <c r="BO45" s="1752"/>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37362</v>
      </c>
      <c r="O47" s="278">
        <f t="shared" si="60"/>
        <v>37362</v>
      </c>
      <c r="P47" s="276">
        <f t="shared" si="60"/>
        <v>37362</v>
      </c>
      <c r="Q47" s="277">
        <f t="shared" si="60"/>
        <v>37362</v>
      </c>
      <c r="R47" s="278">
        <f t="shared" si="60"/>
        <v>37362</v>
      </c>
      <c r="S47" s="277">
        <f t="shared" si="60"/>
        <v>37362</v>
      </c>
      <c r="T47" s="278">
        <f t="shared" si="60"/>
        <v>37362</v>
      </c>
      <c r="U47" s="277">
        <f t="shared" si="60"/>
        <v>37362</v>
      </c>
      <c r="V47" s="278">
        <f t="shared" si="60"/>
        <v>37362</v>
      </c>
      <c r="W47" s="277">
        <f t="shared" si="60"/>
        <v>37362</v>
      </c>
      <c r="X47" s="278">
        <f t="shared" si="60"/>
        <v>37362</v>
      </c>
      <c r="Y47" s="277">
        <f t="shared" si="60"/>
        <v>37362</v>
      </c>
      <c r="Z47" s="278">
        <f t="shared" si="60"/>
        <v>37362</v>
      </c>
      <c r="AA47" s="277">
        <f t="shared" si="60"/>
        <v>37362</v>
      </c>
      <c r="AB47" s="278">
        <f t="shared" si="60"/>
        <v>37362</v>
      </c>
      <c r="AC47" s="277">
        <f t="shared" si="60"/>
        <v>37362</v>
      </c>
      <c r="AD47" s="278">
        <f t="shared" si="60"/>
        <v>37362</v>
      </c>
      <c r="AE47" s="277">
        <f t="shared" si="60"/>
        <v>37362</v>
      </c>
      <c r="AF47" s="278">
        <f t="shared" si="60"/>
        <v>37362</v>
      </c>
      <c r="AG47" s="277">
        <f t="shared" si="60"/>
        <v>37362</v>
      </c>
      <c r="AH47" s="277">
        <f t="shared" si="60"/>
        <v>37362</v>
      </c>
      <c r="AI47" s="278">
        <f t="shared" si="60"/>
        <v>37362</v>
      </c>
      <c r="AJ47" s="277">
        <f t="shared" si="60"/>
        <v>37362</v>
      </c>
      <c r="AK47" s="278">
        <f t="shared" si="60"/>
        <v>37362</v>
      </c>
      <c r="AL47" s="277">
        <f t="shared" si="60"/>
        <v>37362</v>
      </c>
      <c r="AM47" s="278">
        <f t="shared" si="60"/>
        <v>37362</v>
      </c>
      <c r="AN47" s="277">
        <f t="shared" si="60"/>
        <v>37362</v>
      </c>
      <c r="AO47" s="278">
        <f t="shared" si="60"/>
        <v>37362</v>
      </c>
      <c r="AP47" s="277">
        <f t="shared" si="60"/>
        <v>37362</v>
      </c>
      <c r="AQ47" s="278">
        <f t="shared" si="60"/>
        <v>37362</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37362</v>
      </c>
      <c r="O48" s="1753">
        <f>SUM(O47:Q47)</f>
        <v>112086</v>
      </c>
      <c r="P48" s="1754"/>
      <c r="Q48" s="1755"/>
      <c r="R48" s="1756">
        <f>SUM(R47:S47)</f>
        <v>74724</v>
      </c>
      <c r="S48" s="1757"/>
      <c r="T48" s="1753">
        <f>SUM(T47:U47)</f>
        <v>74724</v>
      </c>
      <c r="U48" s="1755"/>
      <c r="V48" s="1756">
        <f>SUM(V47:AS47)</f>
        <v>821964</v>
      </c>
      <c r="W48" s="1758"/>
      <c r="X48" s="1758"/>
      <c r="Y48" s="1758"/>
      <c r="Z48" s="1758"/>
      <c r="AA48" s="1758"/>
      <c r="AB48" s="1758"/>
      <c r="AC48" s="1758"/>
      <c r="AD48" s="1758"/>
      <c r="AE48" s="1758"/>
      <c r="AF48" s="1758"/>
      <c r="AG48" s="1758"/>
      <c r="AH48" s="1758"/>
      <c r="AI48" s="1758"/>
      <c r="AJ48" s="1758"/>
      <c r="AK48" s="1758"/>
      <c r="AL48" s="1758"/>
      <c r="AM48" s="1758"/>
      <c r="AN48" s="1758"/>
      <c r="AO48" s="1758"/>
      <c r="AP48" s="1758"/>
      <c r="AQ48" s="1758"/>
      <c r="AR48" s="1758"/>
      <c r="AS48" s="1757"/>
      <c r="AT48" s="1753">
        <f>SUM(AT47:AU47)</f>
        <v>0</v>
      </c>
      <c r="AU48" s="1755"/>
      <c r="AV48" s="1756">
        <f>SUM(AV47:AW47)</f>
        <v>0</v>
      </c>
      <c r="AW48" s="1757"/>
      <c r="AX48" s="1753">
        <f>SUM(AX47:AY47)</f>
        <v>0</v>
      </c>
      <c r="AY48" s="1755"/>
      <c r="AZ48" s="1756">
        <f>SUM(AZ47:BA47)</f>
        <v>0</v>
      </c>
      <c r="BA48" s="1757"/>
      <c r="BB48" s="1753">
        <f>SUM(BB47:BC47)</f>
        <v>0</v>
      </c>
      <c r="BC48" s="1755"/>
      <c r="BD48" s="1753">
        <f>SUM(BD47:BE47)</f>
        <v>0</v>
      </c>
      <c r="BE48" s="1755"/>
      <c r="BF48" s="1756">
        <f>SUM(BF47:BG47)</f>
        <v>0</v>
      </c>
      <c r="BG48" s="1757"/>
      <c r="BH48" s="1753">
        <f>SUM(BH47:BI47)</f>
        <v>0</v>
      </c>
      <c r="BI48" s="1755"/>
      <c r="BJ48" s="1756">
        <f>SUM(BJ47:BK47)</f>
        <v>0</v>
      </c>
      <c r="BK48" s="1757"/>
      <c r="BL48" s="1753">
        <f>SUM(BL47:BM47)</f>
        <v>0</v>
      </c>
      <c r="BM48" s="1755"/>
      <c r="BN48" s="297"/>
      <c r="BO48" s="298"/>
      <c r="BP48" s="299"/>
    </row>
    <row r="49" spans="1:68" ht="14.4" thickBot="1" x14ac:dyDescent="0.3">
      <c r="J49" s="287" t="s">
        <v>2032</v>
      </c>
      <c r="N49" s="1744">
        <f>SUM(N47:Q47)</f>
        <v>149448</v>
      </c>
      <c r="O49" s="1745"/>
      <c r="P49" s="1745"/>
      <c r="Q49" s="1746"/>
      <c r="R49" s="1759">
        <f>SUM(R47:U47)</f>
        <v>149448</v>
      </c>
      <c r="S49" s="1760"/>
      <c r="T49" s="1760"/>
      <c r="U49" s="1761"/>
      <c r="V49" s="1744">
        <f t="shared" ref="V49" si="62">SUM(V47:BE47)</f>
        <v>821964</v>
      </c>
      <c r="W49" s="1745"/>
      <c r="X49" s="1745"/>
      <c r="Y49" s="1745"/>
      <c r="Z49" s="1745"/>
      <c r="AA49" s="1745"/>
      <c r="AB49" s="1745"/>
      <c r="AC49" s="1745"/>
      <c r="AD49" s="1745"/>
      <c r="AE49" s="1745"/>
      <c r="AF49" s="1745"/>
      <c r="AG49" s="1745"/>
      <c r="AH49" s="1745"/>
      <c r="AI49" s="1745"/>
      <c r="AJ49" s="1745"/>
      <c r="AK49" s="1745"/>
      <c r="AL49" s="1745"/>
      <c r="AM49" s="1745"/>
      <c r="AN49" s="1745"/>
      <c r="AO49" s="1745"/>
      <c r="AP49" s="1745"/>
      <c r="AQ49" s="1745"/>
      <c r="AR49" s="1745"/>
      <c r="AS49" s="1745"/>
      <c r="AT49" s="1745"/>
      <c r="AU49" s="1745"/>
      <c r="AV49" s="1745"/>
      <c r="AW49" s="1745"/>
      <c r="AX49" s="1745"/>
      <c r="AY49" s="1745"/>
      <c r="AZ49" s="1745"/>
      <c r="BA49" s="1745"/>
      <c r="BB49" s="1745"/>
      <c r="BC49" s="1745"/>
      <c r="BD49" s="1745"/>
      <c r="BE49" s="1746"/>
      <c r="BF49" s="1759">
        <f t="shared" ref="BF49" si="63">SUM(BF47:BI47)</f>
        <v>0</v>
      </c>
      <c r="BG49" s="1760"/>
      <c r="BH49" s="1760"/>
      <c r="BI49" s="1761"/>
      <c r="BJ49" s="1744">
        <f t="shared" ref="BJ49" si="64">SUM(BJ47:BM47)</f>
        <v>0</v>
      </c>
      <c r="BK49" s="1745"/>
      <c r="BL49" s="1745"/>
      <c r="BM49" s="1746"/>
      <c r="BN49" s="301"/>
      <c r="BO49" s="302"/>
      <c r="BP49" s="303"/>
    </row>
    <row r="50" spans="1:68" ht="14.4" thickBot="1" x14ac:dyDescent="0.3">
      <c r="BN50" s="1749" t="s">
        <v>2047</v>
      </c>
      <c r="BO50" s="1750"/>
      <c r="BP50" s="863">
        <f>IF(H5="Fixed Price",'4. Summary &amp; Totals'!C61,'4. Summary &amp; Totals'!C45)</f>
        <v>912660</v>
      </c>
    </row>
    <row r="51" spans="1:68" x14ac:dyDescent="0.25">
      <c r="J51" s="304" t="s">
        <v>2048</v>
      </c>
      <c r="K51" s="305">
        <f>+BP33/BO33/8</f>
        <v>101.19718309859155</v>
      </c>
    </row>
    <row r="52" spans="1:68" x14ac:dyDescent="0.25">
      <c r="J52" s="306" t="s">
        <v>2049</v>
      </c>
      <c r="K52" s="307">
        <f>+BP38/BO33/8</f>
        <v>121.43661971830986</v>
      </c>
    </row>
    <row r="53" spans="1:68" ht="14.4" thickBot="1" x14ac:dyDescent="0.3">
      <c r="J53" s="308" t="s">
        <v>2050</v>
      </c>
      <c r="K53" s="309">
        <f>+BP39/BO33/8</f>
        <v>131.55633802816902</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2" activePane="bottomLeft" state="frozen"/>
      <selection activeCell="G20" sqref="G20"/>
      <selection pane="bottomLeft" activeCell="C66" sqref="C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699" t="s">
        <v>3204</v>
      </c>
      <c r="C27" s="1699"/>
      <c r="D27" s="1699"/>
      <c r="E27" s="1699"/>
      <c r="F27" s="1699"/>
      <c r="G27" s="1699"/>
      <c r="H27" s="1699"/>
      <c r="I27" s="1466"/>
    </row>
    <row r="28" spans="2:9" x14ac:dyDescent="0.25">
      <c r="B28" s="1699" t="s">
        <v>3306</v>
      </c>
      <c r="C28" s="1699"/>
      <c r="D28" s="1699"/>
      <c r="E28" s="1699"/>
      <c r="F28" s="1699"/>
      <c r="G28" s="1699"/>
      <c r="H28" s="1699"/>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862200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862200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0.54919972164231035</v>
      </c>
      <c r="C52" s="938">
        <v>0.47</v>
      </c>
      <c r="D52" s="939">
        <f>B52-C52</f>
        <v>7.9199721642310372E-2</v>
      </c>
      <c r="E52" s="940">
        <f>'2. Roles &amp; Pricing'!D289/'2. Roles &amp; Pricing'!M289</f>
        <v>101.19718309859155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1438500</v>
      </c>
      <c r="D56" s="1231">
        <f>('4. Summary &amp; Totals'!$C$67)/(1-D55)+'4. Summary &amp; Totals'!$C$68</f>
        <v>1514131.5789473683</v>
      </c>
      <c r="E56" s="1231">
        <f>('4. Summary &amp; Totals'!$C$67)/(1-E55)+'4. Summary &amp; Totals'!$C$68</f>
        <v>1569136.3636363635</v>
      </c>
      <c r="F56" s="1231">
        <f>('4. Summary &amp; Totals'!$C$67)/(1-F55)+'4. Summary &amp; Totals'!$C$68</f>
        <v>1725900</v>
      </c>
      <c r="G56" s="1231">
        <f>('4. Summary &amp; Totals'!$C$67)/(1-G55)+'4. Summary &amp; Totals'!$C$68</f>
        <v>1917500.0000000002</v>
      </c>
      <c r="H56" s="1231" t="str">
        <f>IF(H55="Enter Test Margin %","",('4. Summary &amp; Totals'!$C$67)/(1-H55)+'4. Summary &amp; Totals'!$C$68)</f>
        <v/>
      </c>
      <c r="I56" s="1232" t="s">
        <v>3685</v>
      </c>
    </row>
    <row r="57" spans="2:9" x14ac:dyDescent="0.25">
      <c r="B57" s="945" t="s">
        <v>225</v>
      </c>
      <c r="C57" s="1233">
        <f>IFERROR(ROUNDUP((C56/'2. Roles &amp; Pricing'!$M$289),0),"")</f>
        <v>169</v>
      </c>
      <c r="D57" s="1233">
        <f>ROUNDUP(IFERROR(D56/'2. Roles &amp; Pricing'!$M$289,""),0)</f>
        <v>178</v>
      </c>
      <c r="E57" s="1233">
        <f>ROUNDUP(IFERROR(E56/'2. Roles &amp; Pricing'!$M$289,""),0)</f>
        <v>185</v>
      </c>
      <c r="F57" s="1233">
        <f>ROUNDUP(IFERROR(F56/'2. Roles &amp; Pricing'!$M$289,""),0)</f>
        <v>203</v>
      </c>
      <c r="G57" s="1233">
        <f>ROUNDUP(IFERROR(G56/'2. Roles &amp; Pricing'!$M$289,""),0)</f>
        <v>226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0" t="s">
        <v>2330</v>
      </c>
      <c r="C61" s="1700"/>
      <c r="D61" s="1700"/>
      <c r="E61" s="1700"/>
      <c r="F61" s="1700"/>
      <c r="G61" s="1700"/>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862200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43110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1" t="s">
        <v>3310</v>
      </c>
      <c r="C82" s="1701"/>
      <c r="D82" s="1701"/>
      <c r="E82" s="1701"/>
      <c r="F82" s="1701"/>
      <c r="G82" s="1701"/>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1" t="s">
        <v>2334</v>
      </c>
      <c r="C92" s="1701"/>
      <c r="D92" s="1701"/>
      <c r="E92" s="1701"/>
      <c r="F92" s="1701"/>
      <c r="G92" s="1701"/>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1"/>
      <c r="C107" s="1701"/>
      <c r="D107" s="1701"/>
      <c r="E107" s="1701"/>
      <c r="F107" s="1701"/>
      <c r="G107" s="1701"/>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912660</v>
      </c>
      <c r="D36" s="413"/>
      <c r="E36" s="594"/>
      <c r="F36" s="594"/>
      <c r="G36" s="413"/>
      <c r="S36" s="581"/>
      <c r="T36" s="596"/>
    </row>
    <row r="37" spans="2:20" x14ac:dyDescent="0.25">
      <c r="B37" s="963" t="s">
        <v>3227</v>
      </c>
      <c r="C37" s="1408">
        <f>C53</f>
        <v>0.55130354886872635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912660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0.55130354886872635</v>
      </c>
      <c r="E53" s="413"/>
      <c r="J53" s="495"/>
      <c r="K53" s="601"/>
      <c r="L53" s="496"/>
    </row>
    <row r="54" spans="2:20" x14ac:dyDescent="0.25">
      <c r="B54" s="867" t="s">
        <v>111</v>
      </c>
      <c r="C54" s="1413">
        <f>IFERROR('2. Roles &amp; Pricing'!$D$289/'2. Roles &amp; Pricing'!M289,"")</f>
        <v>101.19718309859155</v>
      </c>
      <c r="E54" s="413"/>
      <c r="J54" s="495"/>
      <c r="K54" s="601"/>
      <c r="L54" s="496"/>
    </row>
    <row r="55" spans="2:20" x14ac:dyDescent="0.25">
      <c r="B55" s="1239" t="s">
        <v>2093</v>
      </c>
      <c r="C55" s="1414">
        <f>IFERROR(($C$71+$C$67*(1+C56)),"Enter Contingency % on Summary Inputs")</f>
        <v>912310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43110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869200</v>
      </c>
      <c r="E60" s="484"/>
      <c r="J60" s="495"/>
      <c r="K60" s="601"/>
      <c r="L60" s="496"/>
      <c r="T60" s="605"/>
    </row>
    <row r="61" spans="2:20" x14ac:dyDescent="0.25">
      <c r="B61" s="1238" t="s">
        <v>2081</v>
      </c>
      <c r="C61" s="1540">
        <f>IFERROR(C60*(1+C56),"Incomplete Project Information")</f>
        <v>912660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862200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43110</v>
      </c>
      <c r="D69" s="413"/>
      <c r="E69" s="413"/>
      <c r="J69" s="495"/>
      <c r="K69" s="601"/>
      <c r="L69" s="496"/>
      <c r="T69" s="605"/>
    </row>
    <row r="70" spans="2:20" ht="18" customHeight="1" x14ac:dyDescent="0.25">
      <c r="B70" s="969" t="s">
        <v>1468</v>
      </c>
      <c r="C70" s="1420">
        <f>-1*'3. Financial Inputs'!C67</f>
        <v>-43110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870700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388680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390680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71.36363636363636</v>
      </c>
      <c r="E85" s="429"/>
      <c r="L85" s="412"/>
    </row>
    <row r="86" spans="2:12" x14ac:dyDescent="0.25">
      <c r="B86" s="1149" t="s">
        <v>191</v>
      </c>
      <c r="C86" s="1422">
        <f>IFERROR((SUMIF('2. Roles &amp; Pricing'!W48:W147,"Onshore",'2. Roles &amp; Pricing'!D291:D390))/SUMIF('2. Roles &amp; Pricing'!W48:W147,"Onshore",'2. Roles &amp; Pricing'!M291:M390),"")</f>
        <v>172.5</v>
      </c>
      <c r="E86" s="429"/>
      <c r="L86" s="412"/>
    </row>
    <row r="87" spans="2:12" x14ac:dyDescent="0.25">
      <c r="B87" s="1149" t="s">
        <v>192</v>
      </c>
      <c r="C87" s="1423">
        <f>IFERROR((COUNTIF('2. Roles &amp; Pricing'!W48:W147,"Offshore")/SUM(COUNTIF('2. Roles &amp; Pricing'!W48:W147,"Onshore"),COUNTIF('2. Roles &amp; Pricing'!W48:W147,"Offshore"))),"")</f>
        <v>0.5714285714285714</v>
      </c>
      <c r="E87" s="429"/>
      <c r="L87" s="412"/>
    </row>
    <row r="88" spans="2:12" x14ac:dyDescent="0.25">
      <c r="B88" s="1149" t="s">
        <v>111</v>
      </c>
      <c r="C88" s="1422">
        <f>IFERROR('2. Roles &amp; Pricing'!D289/'2. Roles &amp; Pricing'!M289,"")</f>
        <v>101.19718309859155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862200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4920</v>
      </c>
      <c r="D111" s="1447">
        <f>IFERROR(C111/'2. Roles &amp; Pricing'!$M$289,"")</f>
        <v>0.57746478873239437</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0.14084507042253522</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1200</v>
      </c>
      <c r="D114" s="1447">
        <f>IFERROR(C114/'2. Roles &amp; Pricing'!$M$289,"")</f>
        <v>0.14084507042253522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912660</v>
      </c>
      <c r="D26" s="1975"/>
      <c r="E26" s="1975"/>
      <c r="F26" s="1975"/>
      <c r="G26" s="1975"/>
      <c r="H26" s="1976"/>
      <c r="I26" s="1601"/>
      <c r="J26" s="1987"/>
      <c r="K26" s="1987"/>
      <c r="L26" s="1988"/>
    </row>
    <row r="27" spans="2:19" ht="19.95" customHeight="1" x14ac:dyDescent="0.25">
      <c r="B27" s="999" t="s">
        <v>1673</v>
      </c>
      <c r="C27" s="1977">
        <f>'4. Summary &amp; Totals'!C37</f>
        <v>0.55130354886872635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101.19718309859155</v>
      </c>
      <c r="D30" s="1886"/>
      <c r="E30" s="1886"/>
      <c r="F30" s="1887"/>
      <c r="G30" s="1881">
        <f>'2. Roles &amp; Pricing'!F289/'2. Roles &amp; Pricing'!M289</f>
        <v>45.619718309859152</v>
      </c>
      <c r="H30" s="1882"/>
      <c r="I30" s="1599" t="str">
        <f>IF(OR(C30="",E30=""),"MISSING INFO","")</f>
        <v>MISSING INFO</v>
      </c>
      <c r="J30" s="1966"/>
      <c r="K30" s="1966"/>
      <c r="L30" s="1967"/>
    </row>
    <row r="31" spans="2:19" ht="19.95" customHeight="1" x14ac:dyDescent="0.25">
      <c r="B31" s="999" t="s">
        <v>1898</v>
      </c>
      <c r="C31" s="1885">
        <f>'4. Summary &amp; Totals'!C86</f>
        <v>172.5</v>
      </c>
      <c r="D31" s="1886"/>
      <c r="E31" s="1886"/>
      <c r="F31" s="1887"/>
      <c r="G31" s="1881">
        <f>SUMIFS('2. Roles &amp; Pricing'!$F$291:$F$390,'2. Roles &amp; Pricing'!$W$48:$W$147,"Onshore")/SUMIFS('2. Roles &amp; Pricing'!$M$291:$M$390,'2. Roles &amp; Pricing'!$W$48:$W$147,"Onshore")</f>
        <v>80</v>
      </c>
      <c r="H31" s="1882"/>
      <c r="I31" s="1599" t="str">
        <f>IF(OR(C31="",E31=""),"MISSING INFO","")</f>
        <v>MISSING INFO</v>
      </c>
      <c r="J31" s="1966"/>
      <c r="K31" s="1966"/>
      <c r="L31" s="1967"/>
    </row>
    <row r="32" spans="2:19" ht="19.95" customHeight="1" x14ac:dyDescent="0.25">
      <c r="B32" s="1000" t="s">
        <v>1899</v>
      </c>
      <c r="C32" s="1888">
        <f>'4. Summary &amp; Totals'!C85</f>
        <v>71.36363636363636</v>
      </c>
      <c r="D32" s="1889"/>
      <c r="E32" s="1889"/>
      <c r="F32" s="1890"/>
      <c r="G32" s="1883">
        <f>IFERROR(SUMIFS('2. Roles &amp; Pricing'!$F$291:$F$390,'2. Roles &amp; Pricing'!$W$48:$W$147,"Offshore")/SUMIFS('2. Roles &amp; Pricing'!$M$291:$M$390,'2. Roles &amp; Pricing'!$W$48:$W$147,"Offshore"),"")</f>
        <v>30.272727272727273</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Fixed Fee</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Fixed Fee</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678600</v>
      </c>
      <c r="D12" s="1104">
        <f>'2. Roles &amp; Pricing'!AE28</f>
        <v>237000</v>
      </c>
      <c r="E12" s="1105">
        <f>'2. Roles &amp; Pricing'!AF28</f>
        <v>252600</v>
      </c>
    </row>
    <row r="13" spans="2:9" x14ac:dyDescent="0.25">
      <c r="B13" s="1106" t="s">
        <v>1675</v>
      </c>
      <c r="C13" s="1095">
        <f>'2. Roles &amp; Pricing'!AD29</f>
        <v>301200</v>
      </c>
      <c r="D13" s="1095">
        <f>'2. Roles &amp; Pricing'!AE29</f>
        <v>94800</v>
      </c>
      <c r="E13" s="1107">
        <f>'2. Roles &amp; Pricing'!AF29</f>
        <v>109200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712530</v>
      </c>
      <c r="D16" s="1114">
        <f>IFERROR(IF(D14="Manual Entry",(D12+(D12*D15)),(D12+D14+(D12*D15))),"")</f>
        <v>248850</v>
      </c>
      <c r="E16" s="1115">
        <f>IFERROR(IF(E14="Manual Entry",(E12+(E12*E15)),(E12+E14+(E12*E15))),"")</f>
        <v>265230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0.55614500442086645</v>
      </c>
      <c r="D19" s="1116">
        <f>IFERROR((SUMIFS('2. Roles &amp; Pricing'!$D291:$D$390,'2. Roles &amp; Pricing'!AE$48:AE$147,"Yes")-SUMIFS('2. Roles &amp; Pricing'!$F$291:$F$390,'2. Roles &amp; Pricing'!AE$48:AE$147,"Yes"))/SUMIFS('2. Roles &amp; Pricing'!$D$291:$D$390,'2. Roles &amp; Pricing'!AE$48:AE$147,"Yes"),"")</f>
        <v>0.6</v>
      </c>
      <c r="E19" s="1117">
        <f>IFERROR((SUMIFS('2. Roles &amp; Pricing'!$D291:$D$390,'2. Roles &amp; Pricing'!AF$48:AF$147,"Yes")-SUMIFS('2. Roles &amp; Pricing'!$F$291:$F$390,'2. Roles &amp; Pricing'!AF$48:AF$147,"Yes"))/SUMIFS('2. Roles &amp; Pricing'!$D$291:$D$390,'2. Roles &amp; Pricing'!AF$48:AF$147,"Yes"),"")</f>
        <v>0.56769596199524941</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29.464285714285715</v>
      </c>
      <c r="D21" s="1099">
        <f>IFERROR((SUMIFS('2. Roles &amp; Pricing'!$D$291:$D$390,'2. Roles &amp; Pricing'!$W49:$W148,"Onshore",'2. Roles &amp; Pricing'!AE$48:AE$147,"Yes"))/SUMIFS('2. Roles &amp; Pricing'!$M$291:$M$390,'2. Roles &amp; Pricing'!$W$48:$W$147,"Onshore",'2. Roles &amp; Pricing'!AE$48:AE$147,"Yes"),"")</f>
        <v>27.5</v>
      </c>
      <c r="E21" s="1118">
        <f>IFERROR((SUMIFS('2. Roles &amp; Pricing'!$D$291:$D$390,'2. Roles &amp; Pricing'!$W49:$W148,"Onshore",'2. Roles &amp; Pricing'!AF$48:AF$147,"Yes"))/SUMIFS('2. Roles &amp; Pricing'!$M$291:$M$390,'2. Roles &amp; Pricing'!$W$48:$W$147,"Onshore",'2. Roles &amp; Pricing'!AF$48:AF$147,"Yes"),"")</f>
        <v>103.125</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58.372093023255815</v>
      </c>
      <c r="D23" s="1099">
        <f>'2. Roles &amp; Pricing'!AE30</f>
        <v>52.666666666666664</v>
      </c>
      <c r="E23" s="1118">
        <f>'2. Roles &amp; Pricing'!AF30</f>
        <v>39.565217391304351</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678600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252600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2025-08-21T07:35:17Z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