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syeda.tabassum\Test-Download\"/>
    </mc:Choice>
  </mc:AlternateContent>
  <xr:revisionPtr revIDLastSave="0" documentId="13_ncr:1_{F9EE68CE-D7F6-4D36-8DEA-887BC10C9516}" xr6:coauthVersionLast="47" xr6:coauthVersionMax="47" xr10:uidLastSave="{00000000-0000-0000-0000-000000000000}"/>
  <bookViews>
    <workbookView xWindow="-108" yWindow="-108" windowWidth="23256" windowHeight="12456"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I17" i="28" l="1"/>
  <c r="I18" i="28"/>
  <c r="I19" i="28"/>
  <c r="I20" i="28"/>
  <c r="I21" i="28"/>
  <c r="I22" i="28"/>
  <c r="I16" i="28"/>
  <c r="H17" i="28"/>
  <c r="H18" i="28"/>
  <c r="H19" i="28"/>
  <c r="H20" i="28"/>
  <c r="H21" i="28"/>
  <c r="H22" i="28"/>
  <c r="H16" i="28"/>
  <c r="H7"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5" i="1"/>
  <c r="CU49" i="1"/>
  <c r="CU62" i="1"/>
  <c r="CU70" i="1"/>
  <c r="CU77" i="1"/>
  <c r="CU91" i="1"/>
  <c r="CU98" i="1"/>
  <c r="CU104" i="1"/>
  <c r="CU105" i="1"/>
  <c r="CU118" i="1"/>
  <c r="CU132" i="1"/>
  <c r="CU133" i="1"/>
  <c r="CU147" i="1"/>
  <c r="CU154" i="1"/>
  <c r="CU161" i="1"/>
  <c r="CU174" i="1"/>
  <c r="CU189" i="1"/>
  <c r="CU203" i="1"/>
  <c r="CU217" i="1"/>
  <c r="CU316" i="1"/>
  <c r="CU328" i="1"/>
  <c r="CU412" i="1"/>
  <c r="CU456" i="1"/>
  <c r="CU512"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4" i="1" l="1"/>
  <c r="CU314" i="1"/>
  <c r="CU526" i="1"/>
  <c r="CU146" i="1"/>
  <c r="CU210" i="1"/>
  <c r="CU442" i="1"/>
  <c r="CU7" i="1"/>
  <c r="CU175" i="1"/>
  <c r="CU119" i="1"/>
  <c r="CU63"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7" i="28" s="1"/>
  <c r="K171" i="13"/>
  <c r="P17" i="28" s="1"/>
  <c r="L171" i="13"/>
  <c r="Q17" i="28" s="1"/>
  <c r="Z171" i="13"/>
  <c r="AB171" i="13"/>
  <c r="F171" i="13"/>
  <c r="N17" i="28" s="1"/>
  <c r="AA171" i="13"/>
  <c r="F170" i="13"/>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2"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V49" i="13" s="1"/>
  <c r="N60" i="13" a="1"/>
  <c r="N60" i="13" s="1"/>
  <c r="N73" i="13" a="1"/>
  <c r="N73" i="13" s="1"/>
  <c r="N84" i="13" a="1"/>
  <c r="N84" i="13" s="1"/>
  <c r="N97" i="13" a="1"/>
  <c r="N97" i="13" s="1"/>
  <c r="N108" i="13" a="1"/>
  <c r="N108" i="13" s="1"/>
  <c r="N120" i="13" a="1"/>
  <c r="N120" i="13" s="1"/>
  <c r="N134" i="13" a="1"/>
  <c r="N134" i="13" s="1"/>
  <c r="N146" i="13" a="1"/>
  <c r="N146" i="13" s="1"/>
  <c r="I303" i="13" a="1"/>
  <c r="I303" i="13" s="1"/>
  <c r="BS28"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3"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5"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7"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4"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6"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30"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2"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1" i="28" s="1"/>
  <c r="I333" i="13" a="1"/>
  <c r="I333" i="13" s="1"/>
  <c r="I361" i="13" a="1"/>
  <c r="I361" i="13" s="1"/>
  <c r="N112" i="13" a="1"/>
  <c r="N112" i="13" s="1"/>
  <c r="N138" i="13" a="1"/>
  <c r="N138" i="13" s="1"/>
  <c r="I308" i="13" a="1"/>
  <c r="I308" i="13" s="1"/>
  <c r="BS33" i="28" s="1"/>
  <c r="I335" i="13" a="1"/>
  <c r="I335" i="13" s="1"/>
  <c r="I363" i="13" a="1"/>
  <c r="I363" i="13" s="1"/>
  <c r="I291" i="13" a="1"/>
  <c r="I291" i="13" s="1"/>
  <c r="BS16" i="28" s="1"/>
  <c r="K306" i="13" a="1"/>
  <c r="K306" i="13" s="1"/>
  <c r="K339" i="13" a="1"/>
  <c r="K339" i="13" s="1"/>
  <c r="K355" i="13" a="1"/>
  <c r="K355" i="13" s="1"/>
  <c r="N76" i="13" a="1"/>
  <c r="N76" i="13" s="1"/>
  <c r="N101" i="13" a="1"/>
  <c r="N101" i="13" s="1"/>
  <c r="N124" i="13" a="1"/>
  <c r="N124" i="13" s="1"/>
  <c r="I293" i="13" a="1"/>
  <c r="I293" i="13" s="1"/>
  <c r="BS18"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9"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7"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V52" i="13" s="1"/>
  <c r="N77" i="13" a="1"/>
  <c r="N77" i="13" s="1"/>
  <c r="I294" i="13" a="1"/>
  <c r="I294" i="13" s="1"/>
  <c r="BS19" i="28" s="1"/>
  <c r="I321" i="13" a="1"/>
  <c r="I321" i="13" s="1"/>
  <c r="I377" i="13" a="1"/>
  <c r="I377" i="13" s="1"/>
  <c r="K330" i="13" a="1"/>
  <c r="K330" i="13" s="1"/>
  <c r="K378" i="13" a="1"/>
  <c r="K378" i="13" s="1"/>
  <c r="N54" i="13" a="1"/>
  <c r="N54" i="13" s="1"/>
  <c r="I296" i="13" a="1"/>
  <c r="I296" i="13" s="1"/>
  <c r="BS21"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20"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20"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F293" i="13" s="1" a="1"/>
  <c r="F293" i="13" s="1"/>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F292" i="13" s="1" a="1"/>
  <c r="F292" i="13" s="1"/>
  <c r="BQ17"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F299" i="13" s="1" a="1"/>
  <c r="F299" i="13" s="1"/>
  <c r="BQ24" i="28" s="1"/>
  <c r="O389" i="13"/>
  <c r="N389" i="13"/>
  <c r="AB146" i="13"/>
  <c r="O359" i="13"/>
  <c r="N359" i="13"/>
  <c r="AB116" i="13"/>
  <c r="M298" i="13"/>
  <c r="F298" i="13" s="1" a="1"/>
  <c r="F298" i="13" s="1"/>
  <c r="BQ23" i="28" s="1"/>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F300" i="13" s="1" a="1"/>
  <c r="F300" i="13" s="1"/>
  <c r="BQ25" i="28" s="1"/>
  <c r="N297" i="13"/>
  <c r="M297" i="13"/>
  <c r="N379" i="13"/>
  <c r="O379" i="13"/>
  <c r="AB136" i="13"/>
  <c r="O357" i="13"/>
  <c r="N357" i="13"/>
  <c r="AB114" i="13"/>
  <c r="N374" i="13"/>
  <c r="O374" i="13"/>
  <c r="AB131" i="13"/>
  <c r="N332" i="13"/>
  <c r="M332" i="13"/>
  <c r="F332" i="13" s="1" a="1"/>
  <c r="F332" i="13" s="1"/>
  <c r="F297" i="13" l="1" a="1"/>
  <c r="F297" i="13" s="1"/>
  <c r="BQ22" i="28" s="1"/>
  <c r="C114" i="10"/>
  <c r="BN16" i="28"/>
  <c r="F291" i="13" a="1"/>
  <c r="F291" i="13" s="1"/>
  <c r="BQ16" i="28" s="1"/>
  <c r="C111" i="10"/>
  <c r="F296" i="13" a="1"/>
  <c r="F296" i="13" s="1"/>
  <c r="BQ21" i="28" s="1"/>
  <c r="C109" i="10"/>
  <c r="C103" i="10"/>
  <c r="F294" i="13" a="1"/>
  <c r="F294" i="13" s="1"/>
  <c r="BQ19"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3" i="28"/>
  <c r="H24" i="28"/>
  <c r="H25" i="28"/>
  <c r="H26" i="28"/>
  <c r="H27" i="28"/>
  <c r="H28" i="28"/>
  <c r="H29" i="28"/>
  <c r="H30" i="28"/>
  <c r="H31" i="28"/>
  <c r="H32" i="28"/>
  <c r="H33"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BT36" i="28"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P51" i="28"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<sst xmlns="http://schemas.openxmlformats.org/spreadsheetml/2006/main" count="22830" uniqueCount="3694">
  <si>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</si>
  <si>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</si>
  <si>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</si>
  <si>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</si>
  <si>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</si>
  <si>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</si>
  <si>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</si>
  <si>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</si>
  <si>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</si>
  <si>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</si>
  <si>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</si>
  <si>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</si>
  <si>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</si>
  <si>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</si>
  <si>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</si>
  <si>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</si>
  <si>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</si>
  <si>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</si>
  <si>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</si>
  <si>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</si>
  <si>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</si>
  <si>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</si>
  <si>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</si>
  <si>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</si>
  <si>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</si>
  <si>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</si>
  <si>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</si>
  <si>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</si>
  <si>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</si>
  <si>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</si>
  <si>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</si>
  <si>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</si>
  <si>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</si>
  <si>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</si>
  <si>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</si>
  <si>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</si>
  <si>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</si>
  <si>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</si>
  <si>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</si>
  <si>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</si>
  <si>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</si>
  <si>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</si>
  <si>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</si>
  <si>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</si>
  <si>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</si>
  <si>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</si>
  <si>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</si>
  <si>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</si>
  <si>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</si>
  <si>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</si>
  <si>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</si>
  <si>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</si>
  <si>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</si>
  <si>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</si>
  <si>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</si>
  <si>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</si>
  <si>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</si>
  <si>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</si>
  <si>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</si>
  <si>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</si>
  <si>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</si>
  <si>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</si>
  <si>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</si>
  <si>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</si>
  <si>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</si>
  <si>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</si>
  <si>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</si>
  <si>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</si>
  <si>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</si>
  <si>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</si>
  <si>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</si>
  <si>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</si>
  <si>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</si>
  <si>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</si>
  <si>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</si>
  <si>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</si>
  <si>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</si>
  <si>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</si>
  <si>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</si>
  <si>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</si>
  <si>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</si>
  <si>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</si>
  <si>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</si>
  <si>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</si>
  <si>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</si>
  <si>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</si>
  <si>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</si>
  <si>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</si>
  <si>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</si>
  <si>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</si>
  <si>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</si>
  <si>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</si>
  <si>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</si>
  <si>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</si>
  <si>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</si>
  <si>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</si>
  <si>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</si>
  <si>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</si>
  <si>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</si>
  <si>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</si>
  <si>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</si>
  <si>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</si>
  <si>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</si>
  <si>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</si>
  <si>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</si>
  <si>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</si>
  <si>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</si>
  <si>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</si>
  <si>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</si>
  <si>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</si>
  <si>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</si>
  <si>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</si>
  <si>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</si>
  <si>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</si>
  <si>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</si>
  <si>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</si>
  <si>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</si>
  <si>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</si>
  <si>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</si>
  <si>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</si>
  <si>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</si>
  <si>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</si>
  <si>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</si>
  <si>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</si>
  <si>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</si>
  <si>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</si>
  <si>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</si>
  <si>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</si>
  <si>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</si>
  <si>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</si>
  <si>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</si>
  <si>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</si>
  <si>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</si>
  <si>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</si>
  <si>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</si>
  <si>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</si>
  <si>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</si>
  <si>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</si>
  <si>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</si>
  <si>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</si>
  <si>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</si>
  <si>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</si>
  <si>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</si>
  <si>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</si>
  <si>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</si>
  <si>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</si>
  <si>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</si>
  <si>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</si>
  <si>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</si>
  <si>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</si>
  <si>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</si>
  <si>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</si>
  <si>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</si>
  <si>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</si>
  <si>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</si>
  <si>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</si>
  <si>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</si>
  <si>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</si>
  <si>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</si>
  <si>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</si>
  <si>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</si>
  <si>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</si>
  <si>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</si>
  <si>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</si>
  <si>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</si>
  <si>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</si>
  <si>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</si>
  <si>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</si>
  <si>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</si>
  <si>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</si>
  <si>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</si>
  <si>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</si>
  <si>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</si>
  <si>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</si>
  <si>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</si>
  <si>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</si>
  <si>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</si>
  <si>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</si>
  <si>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</si>
  <si>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</si>
  <si>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</si>
  <si>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</si>
  <si>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</si>
  <si>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</si>
  <si>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</si>
  <si>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</si>
  <si>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</si>
  <si>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</si>
  <si>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</si>
  <si>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</si>
  <si>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</si>
  <si>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</si>
  <si>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</si>
  <si>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</si>
  <si>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</si>
  <si>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</si>
  <si>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</si>
  <si>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</si>
  <si>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</si>
  <si>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</si>
  <si>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</si>
  <si>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</si>
  <si>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</si>
  <si>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</si>
  <si>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</si>
  <si>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</si>
  <si>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</si>
  <si>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</si>
  <si>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</si>
  <si>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</si>
  <si>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</si>
  <si>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</si>
  <si>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</si>
  <si>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</si>
  <si>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</si>
  <si>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</si>
  <si>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</si>
  <si>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</si>
  <si>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</si>
  <si>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</si>
  <si>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</si>
  <si>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</si>
  <si>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</si>
  <si>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</si>
  <si>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</si>
  <si>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</si>
  <si>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</si>
  <si>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</si>
  <si>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</si>
  <si>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</si>
  <si>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</si>
  <si>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</si>
  <si>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</si>
  <si>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</si>
  <si>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</si>
  <si>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</si>
  <si>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</si>
  <si>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</si>
  <si>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</si>
  <si>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</si>
  <si>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</si>
  <si>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</si>
  <si>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</si>
  <si>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</si>
  <si>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</si>
  <si>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</si>
  <si>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</si>
  <si>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</si>
  <si>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</si>
  <si>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</si>
  <si>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</si>
  <si>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</si>
  <si>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</si>
  <si>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</si>
  <si>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</si>
  <si>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</si>
  <si>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</si>
  <si>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</si>
  <si>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</si>
  <si>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</si>
  <si>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</si>
  <si>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</si>
  <si>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</si>
  <si>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</si>
  <si>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</si>
  <si>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</si>
  <si>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</si>
  <si>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</si>
  <si>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</si>
  <si>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</si>
  <si>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</si>
  <si>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</si>
  <si>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</si>
  <si>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</si>
  <si>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</si>
  <si>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</si>
  <si>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</si>
  <si>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</si>
  <si>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</si>
  <si>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</si>
  <si>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</si>
  <si>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</si>
  <si>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</si>
  <si>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</si>
  <si>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</si>
  <si>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</si>
  <si>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</si>
  <si>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</si>
  <si>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</si>
  <si>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</si>
  <si>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</si>
  <si>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</si>
  <si>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</si>
  <si>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</si>
  <si>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</si>
  <si>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</si>
  <si>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</si>
  <si>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</si>
  <si>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</si>
  <si>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</si>
  <si>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</si>
  <si>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</si>
  <si>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</si>
  <si>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</si>
  <si>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</si>
  <si>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</si>
  <si>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</si>
  <si>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</si>
  <si>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</si>
  <si>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</si>
  <si>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</si>
  <si>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</si>
  <si>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</si>
  <si>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</si>
  <si>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</si>
  <si>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</si>
  <si>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</si>
  <si>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</si>
  <si>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</si>
  <si>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</si>
  <si>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</si>
  <si>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</si>
  <si>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</si>
  <si>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</si>
  <si>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</si>
  <si>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</si>
  <si>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</si>
  <si>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</si>
  <si>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</si>
  <si>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</si>
  <si>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</si>
  <si>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</si>
  <si>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</si>
  <si>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</si>
  <si>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</si>
  <si>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</si>
  <si>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</si>
  <si>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</si>
  <si>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</si>
  <si>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</si>
  <si>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</si>
  <si>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</si>
  <si>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</si>
  <si>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</si>
  <si>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</si>
  <si>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</si>
  <si>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</si>
  <si>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</si>
  <si>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</si>
  <si>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</si>
  <si>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</si>
  <si>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</si>
  <si>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</si>
  <si>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</si>
  <si>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</si>
  <si>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</si>
  <si>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</si>
  <si>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</si>
  <si>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</si>
  <si>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</si>
  <si>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</si>
  <si>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</si>
  <si>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</si>
  <si>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</si>
  <si>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</si>
  <si>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</si>
  <si>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</si>
  <si>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</si>
  <si>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</si>
  <si>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</si>
  <si>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</si>
  <si>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</si>
  <si>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</si>
  <si>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</si>
  <si>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</si>
  <si>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</si>
  <si>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</si>
  <si>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</si>
  <si>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</si>
  <si>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</si>
  <si>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</si>
  <si>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</si>
  <si>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</si>
  <si>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</si>
  <si>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</si>
  <si>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</si>
  <si>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</si>
  <si>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</si>
  <si>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</si>
  <si>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</si>
  <si>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</si>
  <si>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</si>
  <si>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</si>
  <si>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</si>
  <si>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</si>
  <si>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</si>
  <si>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</si>
  <si>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</si>
  <si>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</si>
  <si>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</si>
  <si>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</si>
  <si>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</si>
  <si>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</si>
  <si>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</si>
  <si>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</si>
  <si>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</si>
  <si>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</si>
  <si>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</si>
  <si>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</si>
  <si>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</si>
  <si>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</si>
  <si>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</si>
  <si>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</si>
  <si>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</si>
  <si>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</si>
  <si>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</si>
  <si>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</si>
  <si>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</si>
  <si>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</si>
  <si>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</si>
  <si>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</si>
  <si>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</si>
  <si>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</si>
  <si>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</si>
  <si>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</si>
  <si>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</si>
  <si>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</si>
  <si>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</si>
  <si>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</si>
  <si>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</si>
  <si>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</si>
  <si>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</si>
  <si>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</si>
  <si>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</si>
  <si>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</si>
  <si>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</si>
  <si>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</si>
  <si>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</si>
  <si>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</si>
  <si>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</si>
  <si>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</si>
  <si>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</si>
  <si>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</si>
  <si>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</si>
  <si>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</si>
  <si>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</si>
  <si>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</si>
  <si>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</si>
  <si>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</si>
  <si>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</si>
  <si>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</si>
  <si>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</si>
  <si>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</si>
  <si>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</si>
  <si>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</si>
  <si>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</si>
  <si>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</si>
  <si>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</si>
  <si>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</si>
  <si>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</si>
  <si>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</si>
  <si>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</si>
  <si>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</si>
  <si>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</si>
  <si>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</si>
  <si>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</si>
  <si>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</si>
  <si>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</si>
  <si>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</si>
  <si>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</si>
  <si>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</si>
  <si>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</si>
  <si>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</si>
  <si>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</si>
  <si>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</si>
  <si>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</si>
  <si>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</si>
  <si>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</si>
  <si>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</si>
  <si>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</si>
  <si>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</si>
  <si>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</si>
  <si>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</si>
  <si>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</si>
  <si>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</si>
  <si>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</si>
  <si>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</si>
  <si>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</si>
  <si>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</si>
  <si>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</si>
  <si>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</si>
  <si>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</si>
  <si>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</si>
  <si>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</si>
  <si>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</si>
  <si>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</si>
  <si>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</si>
  <si>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</si>
  <si>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</si>
  <si>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</si>
  <si>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</si>
  <si>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</si>
  <si>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</si>
  <si>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</si>
  <si>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</si>
  <si>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</si>
  <si>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</si>
  <si>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</si>
  <si>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</si>
  <si>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</si>
  <si>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</si>
  <si>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</si>
  <si>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</si>
  <si>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</si>
  <si>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</si>
  <si>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</si>
  <si>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</si>
  <si>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</si>
  <si>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</si>
  <si>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</si>
  <si>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</si>
  <si>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</si>
  <si>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</si>
  <si>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</si>
  <si>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</si>
  <si>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</si>
  <si>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</si>
  <si>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</si>
  <si>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</si>
  <si>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</si>
  <si>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</si>
  <si>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</si>
  <si>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</si>
  <si>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</si>
  <si>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</si>
  <si>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</si>
  <si>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</si>
  <si>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</si>
  <si>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</si>
  <si>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</si>
  <si>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</si>
  <si>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</si>
  <si>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</si>
  <si>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</si>
  <si>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</si>
  <si>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</si>
  <si>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</si>
  <si>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</si>
  <si>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</si>
  <si>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</si>
  <si>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</si>
  <si>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</si>
  <si>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</si>
  <si>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</si>
  <si>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</si>
  <si>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</si>
  <si>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</si>
  <si>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</si>
  <si>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</si>
  <si>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</si>
  <si>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</si>
  <si>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</si>
  <si>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</si>
  <si>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</si>
  <si>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</si>
  <si>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</si>
  <si>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</si>
  <si>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</si>
  <si>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</si>
  <si>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</si>
  <si>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</si>
  <si>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</si>
  <si>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</si>
  <si>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</si>
  <si>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</si>
  <si>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</si>
  <si>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</si>
  <si>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</si>
  <si>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</si>
  <si>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</si>
  <si>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</si>
  <si>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</si>
  <si>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</si>
  <si>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</si>
  <si>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</si>
  <si>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</si>
  <si>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</si>
  <si>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</si>
  <si>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</si>
  <si>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</si>
  <si>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</si>
  <si>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</si>
  <si>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</si>
  <si>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</si>
  <si>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</si>
  <si>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</si>
  <si>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</si>
  <si>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</si>
  <si>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</si>
  <si>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</si>
  <si>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</si>
  <si>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</si>
  <si>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</si>
  <si>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</si>
  <si>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</si>
  <si>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</si>
  <si>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</si>
  <si>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</si>
  <si>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</si>
  <si>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</si>
  <si>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</si>
  <si>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</si>
  <si>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</si>
  <si>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</si>
  <si>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</si>
  <si>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</si>
  <si>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</si>
  <si>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</si>
  <si>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</si>
  <si>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</si>
  <si>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</si>
  <si>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</si>
  <si>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</si>
  <si>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</si>
  <si>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</si>
  <si>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</si>
  <si>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</si>
  <si>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</si>
  <si>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</si>
  <si>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</si>
  <si>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</si>
  <si>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</si>
  <si>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</si>
  <si>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</si>
  <si>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</si>
  <si>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</si>
  <si>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</si>
  <si>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</si>
  <si>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</si>
  <si>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</si>
  <si>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</si>
  <si>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</si>
  <si>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</si>
  <si>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</si>
  <si>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</si>
  <si>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</si>
  <si>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</si>
  <si>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</si>
  <si>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</si>
  <si>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</si>
  <si>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</si>
  <si>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</si>
  <si>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</si>
  <si>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</si>
  <si>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</si>
  <si>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</si>
  <si>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</si>
  <si>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</si>
  <si>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</si>
  <si>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</si>
  <si>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</si>
  <si>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</si>
  <si>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</si>
  <si>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</si>
  <si>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</si>
  <si>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</si>
  <si>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</si>
  <si>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</si>
  <si>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</si>
  <si>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</si>
  <si>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</si>
  <si>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</si>
  <si>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</si>
  <si>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</si>
  <si>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</si>
  <si>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</si>
  <si>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</si>
  <si>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</si>
  <si>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</si>
  <si>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</si>
  <si>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</si>
  <si>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</si>
  <si>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</si>
  <si>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</si>
  <si>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</si>
  <si>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</si>
  <si>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</si>
  <si>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</si>
  <si>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</si>
  <si>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</si>
  <si>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</si>
  <si>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</si>
  <si>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</si>
  <si>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</si>
  <si>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</si>
  <si>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</si>
  <si>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</si>
  <si>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</si>
  <si>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</si>
  <si>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</si>
  <si>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</si>
  <si>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</si>
  <si>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</si>
  <si>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</si>
  <si>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</si>
  <si>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</si>
  <si>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</si>
  <si>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</si>
  <si>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</si>
  <si>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</si>
  <si>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</si>
  <si>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</si>
  <si>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</si>
  <si>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</si>
  <si>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</si>
  <si>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</si>
  <si>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</si>
  <si>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</si>
  <si>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</si>
  <si>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</si>
  <si>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</si>
  <si>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</si>
  <si>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</si>
  <si>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</si>
  <si>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</si>
  <si>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</si>
  <si>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</si>
  <si>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</si>
  <si>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</si>
  <si>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</si>
  <si>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</si>
  <si>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</si>
  <si>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</si>
  <si>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</si>
  <si>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</si>
  <si>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</si>
  <si>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</si>
  <si>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</si>
  <si>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</si>
  <si>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</si>
  <si>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</si>
  <si>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</si>
  <si>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</si>
  <si>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</si>
  <si>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</si>
  <si>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</si>
  <si>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</si>
  <si>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</si>
  <si>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</si>
  <si>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</si>
  <si>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</si>
  <si>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</si>
  <si>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</si>
  <si>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</si>
  <si>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</si>
  <si>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</si>
  <si>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</si>
  <si>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</si>
  <si>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</si>
  <si>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</si>
  <si>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</si>
  <si>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</si>
  <si>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</si>
  <si>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</si>
  <si>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</si>
  <si>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</si>
  <si>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</si>
  <si>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</si>
  <si>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</si>
  <si>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</si>
  <si>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</si>
  <si>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</si>
  <si>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</si>
  <si>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</si>
  <si>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</si>
  <si>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</si>
  <si>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</si>
  <si>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</si>
  <si>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</si>
  <si>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</si>
  <si>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</si>
  <si>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</si>
  <si>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</si>
  <si>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</si>
  <si>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</si>
  <si>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</si>
  <si>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</si>
  <si>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</si>
  <si>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</si>
  <si>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</si>
  <si>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</si>
  <si>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</si>
  <si>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</si>
  <si>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</si>
  <si>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</si>
  <si>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</si>
  <si>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</si>
  <si>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</si>
  <si>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</si>
  <si>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</si>
  <si>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</si>
  <si>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</si>
  <si>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</si>
  <si>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</si>
  <si>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</si>
  <si>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</si>
  <si>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</si>
  <si>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</si>
  <si>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</si>
  <si>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</si>
  <si>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</si>
  <si>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</si>
  <si>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</si>
  <si>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</si>
  <si>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</si>
  <si>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</si>
  <si>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</si>
  <si>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</si>
  <si>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</si>
  <si>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</si>
  <si>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</si>
  <si>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</si>
  <si>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</si>
  <si>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</si>
  <si>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</si>
  <si>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</si>
  <si>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</si>
  <si>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</si>
  <si>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</si>
  <si>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</si>
  <si>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</si>
  <si>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</si>
  <si>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</si>
  <si>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</si>
  <si>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</si>
  <si>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</si>
  <si>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</si>
  <si>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</si>
  <si>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</si>
  <si>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</si>
  <si>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</si>
  <si>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</si>
  <si>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</si>
  <si>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</si>
  <si>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</si>
  <si>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</si>
  <si>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</si>
  <si>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</si>
  <si>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</si>
  <si>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</si>
  <si>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</si>
  <si>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</si>
  <si>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</si>
  <si>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</si>
  <si>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</si>
  <si>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</si>
  <si>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</si>
  <si>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</si>
  <si>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</si>
  <si>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</si>
  <si>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</si>
  <si>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</si>
  <si>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</si>
  <si>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</si>
  <si>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</si>
  <si>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</si>
  <si>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</si>
  <si>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</si>
  <si>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</si>
  <si>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</si>
  <si>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</si>
  <si>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</si>
  <si>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</si>
  <si>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</si>
  <si>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</si>
  <si>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</si>
  <si>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</si>
  <si>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</si>
  <si>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</si>
  <si>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</si>
  <si>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</si>
  <si>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</si>
  <si>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</si>
  <si>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</si>
  <si>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</si>
  <si>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</si>
  <si>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</si>
  <si>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</si>
  <si>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</si>
  <si>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</si>
  <si>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</si>
  <si>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</si>
  <si>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</si>
  <si>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</si>
  <si>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</si>
  <si>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</si>
  <si>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</si>
  <si>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</si>
  <si>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</si>
  <si>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</si>
  <si>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</si>
  <si>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</si>
  <si>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</si>
  <si>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</si>
  <si>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</si>
  <si>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</si>
  <si>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</si>
  <si>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</si>
  <si>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</si>
  <si>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</si>
  <si>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</si>
  <si>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</si>
  <si>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</si>
  <si>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</si>
  <si>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</si>
  <si>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</si>
  <si>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</si>
  <si>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</si>
  <si>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</si>
  <si>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</si>
  <si>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</si>
  <si>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</si>
  <si>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</si>
  <si>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</si>
  <si>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</si>
  <si>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</si>
  <si>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</si>
  <si>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</si>
  <si>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</si>
  <si>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</si>
  <si>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</si>
  <si>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</si>
  <si>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</si>
  <si>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</si>
  <si>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</si>
  <si>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</si>
  <si>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</si>
  <si>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</si>
  <si>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</si>
  <si>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</si>
  <si>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</si>
  <si>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</si>
  <si>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</si>
  <si>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</si>
  <si>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</si>
  <si>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</si>
  <si>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</si>
  <si>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</si>
  <si>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</si>
  <si>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</si>
  <si>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</si>
  <si>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</si>
  <si>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</si>
  <si>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</si>
  <si>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</si>
  <si>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</si>
  <si>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</si>
  <si>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</si>
  <si>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</si>
  <si>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</si>
  <si>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</si>
  <si>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</si>
  <si>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</si>
  <si>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</si>
  <si>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</si>
  <si>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</si>
  <si>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</si>
  <si>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</si>
  <si>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</si>
  <si>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</si>
  <si>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</si>
  <si>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</si>
  <si>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</si>
  <si>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</si>
  <si>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</si>
  <si>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</si>
  <si>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</si>
  <si>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</si>
  <si>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</si>
  <si>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</si>
  <si>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</si>
  <si>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</si>
  <si>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</si>
  <si>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</si>
  <si>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</si>
  <si>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</si>
  <si>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</si>
  <si>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</si>
  <si>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</si>
  <si>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</si>
  <si>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</si>
  <si>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</si>
  <si>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</si>
  <si>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</si>
  <si>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</si>
  <si>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</si>
  <si>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</si>
  <si>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</si>
  <si>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</si>
  <si>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</si>
  <si>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</si>
  <si>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</si>
  <si>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</si>
  <si>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</si>
  <si>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</si>
  <si>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</si>
  <si>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</si>
  <si>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</si>
  <si>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</si>
  <si>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</si>
  <si>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</si>
  <si>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</si>
  <si>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</si>
  <si>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</si>
  <si>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</si>
  <si>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</si>
  <si>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</si>
  <si>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</si>
  <si>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</si>
  <si>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</si>
  <si>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</si>
  <si>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</si>
  <si>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</si>
  <si>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</si>
  <si>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</si>
  <si>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</si>
  <si>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</si>
  <si>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</si>
  <si>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</si>
  <si>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</si>
  <si>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</si>
  <si>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</si>
  <si>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</si>
  <si>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</si>
  <si>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</si>
  <si>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</si>
  <si>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</si>
  <si>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</si>
  <si>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</si>
  <si>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</si>
  <si>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</si>
  <si>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</si>
  <si>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</si>
  <si>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</si>
  <si>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</si>
  <si>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</si>
  <si>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</si>
  <si>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</si>
  <si>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</si>
  <si>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</si>
  <si>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</si>
  <si>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</si>
  <si>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</si>
  <si>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</si>
  <si>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</si>
  <si>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</si>
  <si>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</si>
  <si>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</si>
  <si>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</si>
  <si>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</si>
  <si>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</si>
  <si>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</si>
  <si>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</si>
  <si>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</si>
  <si>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</si>
  <si>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</si>
  <si>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</si>
  <si>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</si>
  <si>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</si>
  <si>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</si>
  <si>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</si>
  <si>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</si>
  <si>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</si>
  <si>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</si>
  <si>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</si>
  <si>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</si>
  <si>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</si>
  <si>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</si>
  <si>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</si>
  <si>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</si>
  <si>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</si>
  <si>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</si>
  <si>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</si>
  <si>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</si>
  <si>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</si>
  <si>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</si>
  <si>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</si>
  <si>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</si>
  <si>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</si>
  <si>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</si>
  <si>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</si>
  <si>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</si>
  <si>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</si>
  <si>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</si>
  <si>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</si>
  <si>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</si>
  <si>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</si>
  <si>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</si>
  <si>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</si>
  <si>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</si>
  <si>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</si>
  <si>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</si>
  <si>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</si>
  <si>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</si>
  <si>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</si>
  <si>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</si>
  <si>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</si>
  <si>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</si>
  <si>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</si>
  <si>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</si>
  <si>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</si>
  <si>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</si>
  <si>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</si>
  <si>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</si>
  <si>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</si>
  <si>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</si>
  <si>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</si>
  <si>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</si>
  <si>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</si>
  <si>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</si>
  <si>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</si>
  <si>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</si>
  <si>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</si>
  <si>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</si>
  <si>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</si>
  <si>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</si>
  <si>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</si>
  <si>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</si>
  <si>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</si>
  <si>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</si>
  <si>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</si>
  <si>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</si>
  <si>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</si>
  <si>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</si>
  <si>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</si>
  <si>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</si>
  <si>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</si>
  <si>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</si>
  <si>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</si>
  <si>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</si>
  <si>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</si>
  <si>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</si>
  <si>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</si>
  <si>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</si>
  <si>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</si>
  <si>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</si>
  <si>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</si>
  <si>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</si>
  <si>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</si>
  <si>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</si>
  <si>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</si>
  <si>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</si>
  <si>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</si>
  <si>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</si>
  <si>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</si>
  <si>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</si>
  <si>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</si>
  <si>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</si>
  <si>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</si>
  <si>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</si>
  <si>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</si>
  <si>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</si>
  <si>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</si>
  <si>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</si>
  <si>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</si>
  <si>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</si>
  <si>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</si>
  <si>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</si>
  <si>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</si>
  <si>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</si>
  <si>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</si>
  <si>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</si>
  <si>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</si>
  <si>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</si>
  <si>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</si>
  <si>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</si>
  <si>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</si>
  <si>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</si>
  <si>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</si>
  <si>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</si>
  <si>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</si>
  <si>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</si>
  <si>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</si>
  <si>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</si>
  <si>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</si>
  <si>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</si>
  <si>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</si>
  <si>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</si>
  <si>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</si>
  <si>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</si>
  <si>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</si>
  <si>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</si>
  <si>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</si>
  <si>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</si>
  <si>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</si>
  <si>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</si>
  <si>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</si>
  <si>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</si>
  <si>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</si>
  <si>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</si>
  <si>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</si>
  <si>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</si>
  <si>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</si>
  <si>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</si>
  <si>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</si>
  <si>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</si>
  <si>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</si>
  <si>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</si>
  <si>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</si>
  <si>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</si>
  <si>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</si>
  <si>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</si>
  <si>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</si>
  <si>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</si>
  <si>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</si>
  <si>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</si>
  <si>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</si>
  <si>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</si>
  <si>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</si>
  <si>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</si>
  <si>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</si>
  <si>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</si>
  <si>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</si>
  <si>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</si>
  <si>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</si>
  <si>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</si>
  <si>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</si>
  <si>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</si>
  <si>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</si>
  <si>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</si>
  <si>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</si>
  <si>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</si>
  <si>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</si>
  <si>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</si>
  <si>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</si>
  <si>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</si>
  <si>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</si>
  <si>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</si>
  <si>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</si>
  <si>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</si>
  <si>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</si>
  <si>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</si>
  <si>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</si>
  <si>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</si>
  <si>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</si>
  <si>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</si>
  <si>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</si>
  <si>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</si>
  <si>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</si>
  <si>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</si>
  <si>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</si>
  <si>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</si>
  <si>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</si>
  <si>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</si>
  <si>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</si>
  <si>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</si>
  <si>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</si>
  <si>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</si>
  <si>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</si>
  <si>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</si>
  <si>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</si>
  <si>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</si>
  <si>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</si>
  <si>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</si>
  <si>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</si>
  <si>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</si>
  <si>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</si>
  <si>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</si>
  <si>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</si>
  <si>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</si>
  <si>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</si>
  <si>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</si>
  <si>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</si>
  <si>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</si>
  <si>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</si>
  <si>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</si>
  <si>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</si>
  <si>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</si>
  <si>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</si>
  <si>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</si>
  <si>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</si>
  <si>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</si>
  <si>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</si>
  <si>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</si>
  <si>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</si>
  <si>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</si>
  <si>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</si>
  <si>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</si>
  <si>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</si>
  <si>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</si>
  <si>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</si>
  <si>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</si>
  <si>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</si>
  <si>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</si>
  <si>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</si>
  <si>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</si>
  <si>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</si>
  <si>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</si>
  <si>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</si>
  <si>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</si>
  <si>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</si>
  <si>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</si>
  <si>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</si>
  <si>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</si>
  <si>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</si>
  <si>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</si>
  <si>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</si>
  <si>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</si>
  <si>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</si>
  <si>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</si>
  <si>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</si>
  <si>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</si>
  <si>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</si>
  <si>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</si>
  <si>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</si>
  <si>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</si>
  <si>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</si>
  <si>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</si>
  <si>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</si>
  <si>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</si>
  <si>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</si>
  <si>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</si>
  <si>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</si>
  <si>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</si>
  <si>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</si>
  <si>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</si>
  <si>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</si>
  <si>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</si>
  <si>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</si>
  <si>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</si>
  <si>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</si>
  <si>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</si>
  <si>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</si>
  <si>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</si>
  <si>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</si>
  <si>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</si>
  <si>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</si>
  <si>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</si>
  <si>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</si>
  <si>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</si>
  <si>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</si>
  <si>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</si>
  <si>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</si>
  <si>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</si>
  <si>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</si>
  <si>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</si>
  <si>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</si>
  <si>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</si>
  <si>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</si>
  <si>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</si>
  <si>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</si>
  <si>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</si>
  <si>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</si>
  <si>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</si>
  <si>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</si>
  <si>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</si>
  <si>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</si>
  <si>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</si>
  <si>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</si>
  <si>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</si>
  <si>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</si>
  <si>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</si>
  <si>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</si>
  <si>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</si>
  <si>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</si>
  <si>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</si>
  <si>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</si>
  <si>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</si>
  <si>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</si>
  <si>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</si>
  <si>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</si>
  <si>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</si>
  <si>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</si>
  <si>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</si>
  <si>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</si>
  <si>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</si>
  <si>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</si>
  <si>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</si>
  <si>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</si>
  <si>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</si>
  <si>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</si>
  <si>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</si>
  <si>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</si>
  <si>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</si>
  <si>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</si>
  <si>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</si>
  <si>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</si>
  <si>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</si>
  <si>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</si>
  <si>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</si>
  <si>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</si>
  <si>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</si>
  <si>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</si>
  <si>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</si>
  <si>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</si>
  <si>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</si>
  <si>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</si>
  <si>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</si>
  <si>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</si>
  <si>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</si>
  <si>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</si>
  <si>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</si>
  <si>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</si>
  <si>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</si>
  <si>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</si>
  <si>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</si>
  <si>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</si>
  <si>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</si>
  <si>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</si>
  <si>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</si>
  <si>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</si>
  <si>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</si>
  <si>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</si>
  <si>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</si>
  <si>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</si>
  <si>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</si>
  <si>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</si>
  <si>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</si>
  <si>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</si>
  <si>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</si>
  <si>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</si>
  <si>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</si>
  <si>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</si>
  <si>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</si>
  <si>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</si>
  <si>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</si>
  <si>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</si>
  <si>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</si>
  <si>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</si>
  <si>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</si>
  <si>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</si>
  <si>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</si>
  <si>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</si>
  <si>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</si>
  <si>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</si>
  <si>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</si>
  <si>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</si>
  <si>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</si>
  <si>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</si>
  <si>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</si>
  <si>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</si>
  <si>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</si>
  <si>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</si>
  <si>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</si>
  <si>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</si>
  <si>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</si>
  <si>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</si>
  <si>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</si>
  <si>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</si>
  <si>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</si>
  <si>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</si>
  <si>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</si>
  <si>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</si>
  <si>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</si>
  <si>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</si>
  <si>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</si>
  <si>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</si>
  <si>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</si>
  <si>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</si>
  <si>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</si>
  <si>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</si>
  <si>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</si>
  <si>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</si>
  <si>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</si>
  <si>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</si>
  <si>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</si>
  <si>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</si>
  <si>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</si>
  <si>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</si>
  <si>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</si>
  <si>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</si>
  <si>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</si>
  <si>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</si>
  <si>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</si>
  <si>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</si>
  <si>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</si>
  <si>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</si>
  <si>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</si>
  <si>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</si>
  <si>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</si>
  <si>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</si>
  <si>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</si>
  <si>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</si>
  <si>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</si>
  <si>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</si>
  <si>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</si>
  <si>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</si>
  <si>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</si>
  <si>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</si>
  <si>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</si>
  <si>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</si>
  <si>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</si>
  <si>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</si>
  <si>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</si>
  <si>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</si>
  <si>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</si>
  <si>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</si>
  <si>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</si>
  <si>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</si>
  <si>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</si>
  <si>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</si>
  <si>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</si>
  <si>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</si>
  <si>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</si>
  <si>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</si>
  <si>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</si>
  <si>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</si>
  <si>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</si>
  <si>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</si>
  <si>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</si>
  <si>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</si>
  <si>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</si>
  <si>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</si>
  <si>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</si>
  <si>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</si>
  <si>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</si>
  <si>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</si>
  <si>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</si>
  <si>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</si>
  <si>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</si>
  <si>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</si>
  <si>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</si>
  <si>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</si>
  <si>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</si>
  <si>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</si>
  <si>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</si>
  <si>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</si>
  <si>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</si>
  <si>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</si>
  <si>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</si>
  <si>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</si>
  <si>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</si>
  <si>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</si>
  <si>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</si>
  <si>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</si>
  <si>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</si>
  <si>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</si>
  <si>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</si>
  <si>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</si>
  <si>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</si>
  <si>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</si>
  <si>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</si>
  <si>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</si>
  <si>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</si>
  <si>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</si>
  <si>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</si>
  <si>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</si>
  <si>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</si>
  <si>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</si>
  <si>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</si>
  <si>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</si>
  <si>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</si>
  <si>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</si>
  <si>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</si>
  <si>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</si>
  <si>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</si>
  <si>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</si>
  <si>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</si>
  <si>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</si>
  <si>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</si>
  <si>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</si>
  <si>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</si>
  <si>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</si>
  <si>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</si>
  <si>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</si>
  <si>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</si>
  <si>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</si>
  <si>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</si>
  <si>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</si>
  <si>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</si>
  <si>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</si>
  <si>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</si>
  <si>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</si>
  <si>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</si>
  <si>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</si>
  <si>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</si>
  <si>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</si>
  <si>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</si>
  <si>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</si>
  <si>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</si>
  <si>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</si>
  <si>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</si>
  <si>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</si>
  <si>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</si>
  <si>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</si>
  <si>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</si>
  <si>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</si>
  <si>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</si>
  <si>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</si>
  <si>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</si>
  <si>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</si>
  <si>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</si>
  <si>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</si>
  <si>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</si>
  <si>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</si>
  <si>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</si>
  <si>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</si>
  <si>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</si>
  <si>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</si>
  <si>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</si>
  <si>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</si>
  <si>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</si>
  <si>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</si>
  <si>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</si>
  <si>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</si>
  <si>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</si>
  <si>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</si>
  <si>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</si>
  <si>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</si>
  <si>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</si>
  <si>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</si>
  <si>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</si>
  <si>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</si>
  <si>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</si>
  <si>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</si>
  <si>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</si>
  <si>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</si>
  <si>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</si>
  <si>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</si>
  <si>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</si>
  <si>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</si>
  <si>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</si>
  <si>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</si>
  <si>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</si>
  <si>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</si>
  <si>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</si>
  <si>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</si>
  <si>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</si>
  <si>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</si>
  <si>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</si>
  <si>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</si>
  <si>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</si>
  <si>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</si>
  <si>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</si>
  <si>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</si>
  <si>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</si>
  <si>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</si>
  <si>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</si>
  <si>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</si>
  <si>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</si>
  <si>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</si>
  <si>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</si>
  <si>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</si>
  <si>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</si>
  <si>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</si>
  <si>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</si>
  <si>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</si>
  <si>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</si>
  <si>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</si>
  <si>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</si>
  <si>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</si>
  <si>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</si>
  <si>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</si>
  <si>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</si>
  <si>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</si>
  <si>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</si>
  <si>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</si>
  <si>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</si>
  <si>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</si>
  <si>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</si>
  <si>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</si>
  <si>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</si>
  <si>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</si>
  <si>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</si>
  <si>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</si>
  <si>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</si>
  <si>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</si>
  <si>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</si>
  <si>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</si>
  <si>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</si>
  <si>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</si>
  <si>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</si>
  <si>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</si>
  <si>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</si>
  <si>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</si>
  <si>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</si>
  <si>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</si>
  <si>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</si>
  <si>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</si>
  <si>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</si>
  <si>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</si>
  <si>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</si>
  <si>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</si>
  <si>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</si>
  <si>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</si>
  <si>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</si>
  <si>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</si>
  <si>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</si>
  <si>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</si>
  <si>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</si>
  <si>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</si>
  <si>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</si>
  <si>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</si>
  <si>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</si>
  <si>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</si>
  <si>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</si>
  <si>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</si>
  <si>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</si>
  <si>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</si>
  <si>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</si>
  <si>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</si>
  <si>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</si>
  <si>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</si>
  <si>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</si>
  <si>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</si>
  <si>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</si>
  <si>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</si>
  <si>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</si>
  <si>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</si>
  <si>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</si>
  <si>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</si>
  <si>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</si>
  <si>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</si>
  <si>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</si>
  <si>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</si>
  <si>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</si>
  <si>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</si>
  <si>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</si>
  <si>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</si>
  <si>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</si>
  <si>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</si>
  <si>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</si>
  <si>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</si>
  <si>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</si>
  <si>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</si>
  <si>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</si>
  <si>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</si>
  <si>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</si>
  <si>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</si>
  <si>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</si>
  <si>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</si>
  <si>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</si>
  <si>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</si>
  <si>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</si>
  <si>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</si>
  <si>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</si>
  <si>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</si>
  <si>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</si>
  <si>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</si>
  <si>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</si>
  <si>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</si>
  <si>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</si>
  <si>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</si>
  <si>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</si>
  <si>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</si>
  <si>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</si>
  <si>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</si>
  <si>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</si>
  <si>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</si>
  <si>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</si>
  <si>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</si>
  <si>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</si>
  <si>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</si>
  <si>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</si>
  <si>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</si>
  <si>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</si>
  <si>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</si>
  <si>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</si>
  <si>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</si>
  <si>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</si>
  <si>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</si>
  <si>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</si>
  <si>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</si>
  <si>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</si>
  <si>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</si>
  <si>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</si>
  <si>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</si>
  <si>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</si>
  <si>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</si>
  <si>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</si>
  <si>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</si>
  <si>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</si>
  <si>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</si>
  <si>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</si>
  <si>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</si>
  <si>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</si>
  <si>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</si>
  <si>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</si>
  <si>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</si>
  <si>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</si>
  <si>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</si>
  <si>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</si>
  <si>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</si>
  <si>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</si>
  <si>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</si>
  <si>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</si>
  <si>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</si>
  <si>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</si>
  <si>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</si>
  <si>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</si>
  <si>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</si>
  <si>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</si>
  <si>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</si>
  <si>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</si>
  <si>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</si>
  <si>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</si>
  <si>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</si>
  <si>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</si>
  <si>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</si>
  <si>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</si>
  <si>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</si>
  <si>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</si>
  <si>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</si>
  <si>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</si>
  <si>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</si>
  <si>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</si>
  <si>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</si>
  <si>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</si>
  <si>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</si>
  <si>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</si>
  <si>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</si>
  <si>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</si>
  <si>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</si>
  <si>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</si>
  <si>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</si>
  <si>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</si>
  <si>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</si>
  <si>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</si>
  <si>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</si>
  <si>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</si>
  <si>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</si>
  <si>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</si>
  <si>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</si>
  <si>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</si>
  <si>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</si>
  <si>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</si>
  <si>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</si>
  <si>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</si>
  <si>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</si>
  <si>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</si>
  <si>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</si>
  <si>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</si>
  <si>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</si>
  <si>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</si>
  <si>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</si>
  <si>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</si>
  <si>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</si>
  <si>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</si>
  <si>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</si>
  <si>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</si>
  <si>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</si>
  <si>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</si>
  <si>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</si>
  <si>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</si>
  <si>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</si>
  <si>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</si>
  <si>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</si>
  <si>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</si>
  <si>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</si>
  <si>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</si>
  <si>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</si>
  <si>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</si>
  <si>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</si>
  <si>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</si>
  <si>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</si>
  <si>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</si>
  <si>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</si>
  <si>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</si>
  <si>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</si>
  <si>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</si>
  <si>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</si>
  <si>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</si>
  <si>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</si>
  <si>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</si>
  <si>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</si>
  <si>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</si>
  <si>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</si>
  <si>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</si>
  <si>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</si>
  <si>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</si>
  <si>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</si>
  <si>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</si>
  <si>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</si>
  <si>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</si>
  <si>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</si>
  <si>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</si>
  <si>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</si>
  <si>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</si>
  <si>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</si>
  <si>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</si>
  <si>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</si>
  <si>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</si>
  <si>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</si>
  <si>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</si>
  <si>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</si>
  <si>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</si>
  <si>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</si>
  <si>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</si>
  <si>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</si>
  <si>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</si>
  <si>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</si>
  <si>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</si>
  <si>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</si>
  <si>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</si>
  <si>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</si>
  <si>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</si>
  <si>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</si>
  <si>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</si>
  <si>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</si>
  <si>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</si>
  <si>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</si>
  <si>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</si>
  <si>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</si>
  <si>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</si>
  <si>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</si>
  <si>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</si>
  <si>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</si>
  <si>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</si>
  <si>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</si>
  <si>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</si>
  <si>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</si>
  <si>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</si>
  <si>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</si>
  <si>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</si>
  <si>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</si>
  <si>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</si>
  <si>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</si>
  <si>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</si>
  <si>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</si>
  <si>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</si>
  <si>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</si>
  <si>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</si>
  <si>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</si>
  <si>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</si>
  <si>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</si>
  <si>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</si>
  <si>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</si>
  <si>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</si>
  <si>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</si>
  <si>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</si>
  <si>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</si>
  <si>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</si>
  <si>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</si>
  <si>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</si>
  <si>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</si>
  <si>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</si>
  <si>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</si>
  <si>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</si>
  <si>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</si>
  <si>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</si>
  <si>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</si>
  <si>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</si>
  <si>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</si>
  <si>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</si>
  <si>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</si>
  <si>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</si>
  <si>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</si>
  <si>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</si>
  <si>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</si>
  <si>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</si>
  <si>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</si>
  <si>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</si>
  <si>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</si>
  <si>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</si>
  <si>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</si>
  <si>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</si>
  <si>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</si>
  <si>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</si>
  <si>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</si>
  <si>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</si>
  <si>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</si>
  <si>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</si>
  <si>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</si>
  <si>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</si>
  <si>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</si>
  <si>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</si>
  <si>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</si>
  <si>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</si>
  <si>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</si>
  <si>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</si>
  <si>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</si>
  <si>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</si>
  <si>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</si>
  <si>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</si>
  <si>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</si>
  <si>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</si>
  <si>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</si>
  <si>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</si>
  <si>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</si>
  <si>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</si>
  <si>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</si>
  <si>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</si>
  <si>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</si>
  <si>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</si>
  <si>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</si>
  <si>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</si>
  <si>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</si>
  <si>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</si>
  <si>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</si>
  <si>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</si>
  <si>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</si>
  <si>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</si>
  <si>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</si>
  <si>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</si>
  <si>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</si>
  <si>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</si>
  <si>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</si>
  <si>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</si>
  <si>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</si>
  <si>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</si>
  <si>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</si>
  <si>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</si>
  <si>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</si>
  <si>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</si>
  <si>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</si>
  <si>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</si>
  <si>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</si>
  <si>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</si>
  <si>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</si>
  <si>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</si>
  <si>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</si>
  <si>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</si>
  <si>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</si>
  <si>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</si>
  <si>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</si>
  <si>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</si>
  <si>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</si>
  <si>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</si>
  <si>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</si>
  <si>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</si>
  <si>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</si>
  <si>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</si>
  <si>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</si>
  <si>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</si>
  <si>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</si>
  <si>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</si>
  <si>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</si>
  <si>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</si>
  <si>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</si>
  <si>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</si>
  <si>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</si>
  <si>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</si>
  <si>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</si>
  <si>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</si>
  <si>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</si>
  <si>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</si>
  <si>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</si>
  <si>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</si>
  <si>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</si>
  <si>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</si>
  <si>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</si>
  <si>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</si>
  <si>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</si>
  <si>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</si>
  <si>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</si>
  <si>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</si>
  <si>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</si>
  <si>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</si>
  <si>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</si>
  <si>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</si>
  <si>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</si>
  <si>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</si>
  <si>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</si>
  <si>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</si>
  <si>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</si>
  <si>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</si>
  <si>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</si>
  <si>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</si>
  <si>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</si>
  <si>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</si>
  <si>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</si>
  <si>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</si>
  <si>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</si>
  <si>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</si>
  <si>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</si>
  <si>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</si>
  <si>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</si>
  <si>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</si>
  <si>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</si>
  <si>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</si>
  <si>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</si>
  <si>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</si>
  <si>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</si>
  <si>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</si>
  <si>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</si>
  <si>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</si>
  <si>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</si>
  <si>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</si>
  <si>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</si>
  <si>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</si>
  <si>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</si>
  <si>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</si>
  <si>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</si>
  <si>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</si>
  <si>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</si>
  <si>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</si>
  <si>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</si>
  <si>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</si>
  <si>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</si>
  <si>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</si>
  <si>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</si>
  <si>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</si>
  <si>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</si>
  <si>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</si>
  <si>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</si>
  <si>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</si>
  <si>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</si>
  <si>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</si>
  <si>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</si>
  <si>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</si>
  <si>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</si>
  <si>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</si>
  <si>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</si>
  <si>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</si>
  <si>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</si>
  <si>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</si>
  <si>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</si>
  <si>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</si>
  <si>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</si>
  <si>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</si>
  <si>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</si>
  <si>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</si>
  <si>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</si>
  <si>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</si>
  <si>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</si>
  <si>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</si>
  <si>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</si>
  <si>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</si>
  <si>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</si>
  <si>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</si>
  <si>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</si>
  <si>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</si>
  <si>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</si>
  <si>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</si>
  <si>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</si>
  <si>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</si>
  <si>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</si>
  <si>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</si>
  <si>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</si>
  <si>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</si>
  <si>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</si>
  <si>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</si>
  <si>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</si>
  <si>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</si>
  <si>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</si>
  <si>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</si>
  <si>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</si>
  <si>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</si>
  <si>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</si>
  <si>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</si>
  <si>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</si>
  <si>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</si>
  <si>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</si>
  <si>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</si>
  <si>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</si>
  <si>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</si>
  <si>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</si>
  <si>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</si>
  <si>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</si>
  <si>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</si>
  <si>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</si>
  <si>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</si>
  <si>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</si>
  <si>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</si>
  <si>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</si>
  <si>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</si>
  <si>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</si>
  <si>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</si>
  <si>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</si>
  <si>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</si>
  <si>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</si>
  <si>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</si>
  <si>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</si>
  <si>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</si>
  <si>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</si>
  <si>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</si>
  <si>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</si>
  <si>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</si>
  <si>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</si>
  <si>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</si>
  <si>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</si>
  <si>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</si>
  <si>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</si>
  <si>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</si>
  <si>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</si>
  <si>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</si>
  <si>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</si>
  <si>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</si>
  <si>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</si>
  <si>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</si>
  <si>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</si>
  <si>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</si>
  <si>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</si>
  <si>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</si>
  <si>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</si>
  <si>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</si>
  <si>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</si>
  <si>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</si>
  <si>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</si>
  <si>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</si>
  <si>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</si>
  <si>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</si>
  <si>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</si>
  <si>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</si>
  <si>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</si>
  <si>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</si>
  <si>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</si>
  <si>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</si>
  <si>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</si>
  <si>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</si>
  <si>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</si>
  <si>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</si>
  <si>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</si>
  <si>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</si>
  <si>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</si>
  <si>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</si>
  <si>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</si>
  <si>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</si>
  <si>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</si>
  <si>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</si>
  <si>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</si>
  <si>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</si>
  <si>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</si>
  <si>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</si>
  <si>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</si>
  <si>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</si>
  <si>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</si>
  <si>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</si>
  <si>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</si>
  <si>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</si>
  <si>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</si>
  <si>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</si>
  <si>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</si>
  <si>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</si>
  <si>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</si>
  <si>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</si>
  <si>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</si>
  <si>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</si>
  <si>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</si>
  <si>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</si>
  <si>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</si>
  <si>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</si>
  <si>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</si>
  <si>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</si>
  <si>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</si>
  <si>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</si>
  <si>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</si>
  <si>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</si>
  <si>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</si>
  <si>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</si>
  <si>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</si>
  <si>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</si>
  <si>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</si>
  <si>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</si>
  <si>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</si>
  <si>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</si>
  <si>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</si>
  <si>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</si>
  <si>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</si>
  <si>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</si>
  <si>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</si>
  <si>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</si>
  <si>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</si>
  <si>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</si>
  <si>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</si>
  <si>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</si>
  <si>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</si>
  <si>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</si>
  <si>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</si>
  <si>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</si>
  <si>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</si>
  <si>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</si>
  <si>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</si>
  <si>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</si>
  <si>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</si>
  <si>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</si>
  <si>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</si>
  <si>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</si>
  <si>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</si>
  <si>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</si>
  <si>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</si>
  <si>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</si>
  <si>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</si>
  <si>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</si>
  <si>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</si>
  <si>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</si>
  <si>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</si>
  <si>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</si>
  <si>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</si>
  <si>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</si>
  <si>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</si>
  <si>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</si>
  <si>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</si>
  <si>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</si>
  <si>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</si>
  <si>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</si>
  <si>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</si>
  <si>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</si>
  <si>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</si>
  <si>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</si>
  <si>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</si>
  <si>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</si>
  <si>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</si>
  <si>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</si>
  <si>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</si>
  <si>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</si>
  <si>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</si>
  <si>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</si>
  <si>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</si>
  <si>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</si>
  <si>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</si>
  <si>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</si>
  <si>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</si>
  <si>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</si>
  <si>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</si>
  <si>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</si>
  <si>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</si>
  <si>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</si>
  <si>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</si>
  <si>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</si>
  <si>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</si>
  <si>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</si>
  <si>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</si>
  <si>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</si>
  <si>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</si>
  <si>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</si>
  <si>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</si>
  <si>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</si>
  <si>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</si>
  <si>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</si>
  <si>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</si>
  <si>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</si>
  <si>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</si>
  <si>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</si>
  <si>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</si>
  <si>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</si>
  <si>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</si>
  <si>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</si>
  <si>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</si>
  <si>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</si>
  <si>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</si>
  <si>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</si>
  <si>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</si>
  <si>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</si>
  <si>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</si>
  <si>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</si>
  <si>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</si>
  <si>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</si>
  <si>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</si>
  <si>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</si>
  <si>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</si>
  <si>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</si>
  <si>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</si>
  <si>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</si>
  <si>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</si>
  <si>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</si>
  <si>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</si>
  <si>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</si>
  <si>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</si>
  <si>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</si>
  <si>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</si>
  <si>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</si>
  <si>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</si>
  <si>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</si>
  <si>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</si>
  <si>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</si>
  <si>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</si>
  <si>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</si>
  <si>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</si>
  <si>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</si>
  <si>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</si>
  <si>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</si>
  <si>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</si>
  <si>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</si>
  <si>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</si>
  <si>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</si>
  <si>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</si>
  <si>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</si>
  <si>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</si>
  <si>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</si>
  <si>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</si>
  <si>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</si>
  <si>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</si>
  <si>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</si>
  <si>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</si>
  <si>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</si>
  <si>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</si>
  <si>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</si>
  <si>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</si>
  <si>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</si>
  <si>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</si>
  <si>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</si>
  <si>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</si>
  <si>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</si>
  <si>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</si>
  <si>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</si>
  <si>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</si>
  <si>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</si>
  <si>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</si>
  <si>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</si>
  <si>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</si>
  <si>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</si>
  <si>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</si>
  <si>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</si>
  <si>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</si>
  <si>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</si>
  <si>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</si>
  <si>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</si>
  <si>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</si>
  <si>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</si>
  <si>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</si>
  <si>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</si>
  <si>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</si>
  <si>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</si>
  <si>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</si>
  <si>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</si>
  <si>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</si>
  <si>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</si>
  <si>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</si>
  <si>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</si>
  <si>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</si>
  <si>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</si>
  <si>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</si>
  <si>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</si>
  <si>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</si>
  <si>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</si>
  <si>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</si>
  <si>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</si>
  <si>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</si>
  <si>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</si>
  <si>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</si>
  <si>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</si>
  <si>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</si>
  <si>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</si>
  <si>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</si>
  <si>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</si>
  <si>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</si>
  <si>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</si>
  <si>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</si>
  <si>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</si>
  <si>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</si>
  <si>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</si>
  <si>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</si>
  <si>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</si>
  <si>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</si>
  <si>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</si>
  <si>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</si>
  <si>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</si>
  <si>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</si>
  <si>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</si>
  <si>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</si>
  <si>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</si>
  <si>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</si>
  <si>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</si>
  <si>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</si>
  <si>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</si>
  <si>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</si>
  <si>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</si>
  <si>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</si>
  <si>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</si>
  <si>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</si>
  <si>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</si>
  <si>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</si>
  <si>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</si>
  <si>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</si>
  <si>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</si>
  <si>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</si>
  <si>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</si>
  <si>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</si>
  <si>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</si>
  <si>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</si>
  <si>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</si>
  <si>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</si>
  <si>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</si>
  <si>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</si>
  <si>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</si>
  <si>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</si>
  <si>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</si>
  <si>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</si>
  <si>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</si>
  <si>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</si>
  <si>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</si>
  <si>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</si>
  <si>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</si>
  <si>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</si>
  <si>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</si>
  <si>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</si>
  <si>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</si>
  <si>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</si>
  <si>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</si>
  <si>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</si>
  <si>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</si>
  <si>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</si>
  <si>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</si>
  <si>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</si>
  <si>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</si>
  <si>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</si>
  <si>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</si>
  <si>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</si>
  <si>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</si>
  <si>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</si>
  <si>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</si>
  <si>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</si>
  <si>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</si>
  <si>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</si>
  <si>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</si>
  <si>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</si>
  <si>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</si>
  <si>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</si>
  <si>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</si>
  <si>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</si>
  <si>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</si>
  <si>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</si>
  <si>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</si>
  <si>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</si>
  <si>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</si>
  <si>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</si>
  <si>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</si>
  <si>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</si>
  <si>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</si>
  <si>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</si>
  <si>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</si>
  <si>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</si>
  <si>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</si>
  <si>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</si>
  <si>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</si>
  <si>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</si>
  <si>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</si>
  <si>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</si>
  <si>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</si>
  <si>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</si>
  <si>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</si>
  <si>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</si>
  <si>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</si>
  <si>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</si>
  <si>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</si>
  <si>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</si>
  <si>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</si>
  <si>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</si>
  <si>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</si>
  <si>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</si>
  <si>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</si>
  <si>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</si>
  <si>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</si>
  <si>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</si>
  <si>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</si>
  <si>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</si>
  <si>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</si>
  <si>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</si>
  <si>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</si>
  <si>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</si>
  <si>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</si>
  <si>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</si>
  <si>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</si>
  <si>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</si>
  <si>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</si>
  <si>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</si>
  <si>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</si>
  <si>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</si>
  <si>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</si>
  <si>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</si>
  <si>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</si>
  <si>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</si>
  <si>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</si>
  <si>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</si>
  <si>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</si>
  <si>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</si>
  <si>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</si>
  <si>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</si>
  <si>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</si>
  <si>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</si>
  <si>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</si>
  <si>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</si>
  <si>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</si>
  <si>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</si>
  <si>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</si>
  <si>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</si>
  <si>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</si>
  <si>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</si>
  <si>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</si>
  <si>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</si>
  <si>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</si>
  <si>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</si>
  <si>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</si>
  <si>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</si>
  <si>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</si>
  <si>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</si>
  <si>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</si>
  <si>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</si>
  <si>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</si>
  <si>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</si>
  <si>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</si>
  <si>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</si>
  <si>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</si>
  <si>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</si>
  <si>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</si>
  <si>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</si>
  <si>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</si>
  <si>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</si>
  <si>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</si>
  <si>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</si>
  <si>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</si>
  <si>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</si>
  <si>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</si>
  <si>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</si>
  <si>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</si>
  <si>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</si>
  <si>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</si>
  <si>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</si>
  <si>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</si>
  <si>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</si>
  <si>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</si>
  <si>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</si>
  <si>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</si>
  <si>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</si>
  <si>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</si>
  <si>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</si>
  <si>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</si>
  <si>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</si>
  <si>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</si>
  <si>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</si>
  <si>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</si>
  <si>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</si>
  <si>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</si>
  <si>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</si>
  <si>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</si>
  <si>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</si>
  <si>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</si>
  <si>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</si>
  <si>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</si>
  <si>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</si>
  <si>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</si>
  <si>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</si>
  <si>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</si>
  <si>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</si>
  <si>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</si>
  <si>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</si>
  <si>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</si>
  <si>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</si>
  <si>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</si>
  <si>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</si>
  <si>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</si>
  <si>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</si>
  <si>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</si>
  <si>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</si>
  <si>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</si>
  <si>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</si>
  <si>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</si>
  <si>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</si>
  <si>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</si>
  <si>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</si>
  <si>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</si>
  <si>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</si>
  <si>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</si>
  <si>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</si>
  <si>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</si>
  <si>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</si>
  <si>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</si>
  <si>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</si>
  <si>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</si>
  <si>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</si>
  <si>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</si>
  <si>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</si>
  <si>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</si>
  <si>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</si>
  <si>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</si>
  <si>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</si>
  <si>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</si>
  <si>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</si>
  <si>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</si>
  <si>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</si>
  <si>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</si>
  <si>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</si>
  <si>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</si>
  <si>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</si>
  <si>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</si>
  <si>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</si>
  <si>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</si>
  <si>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</si>
  <si>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</si>
  <si>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</si>
  <si>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</si>
  <si>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</si>
  <si>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</si>
  <si>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</si>
  <si>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</si>
  <si>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</si>
  <si>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</si>
  <si>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</si>
  <si>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</si>
  <si>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</si>
  <si>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</si>
  <si>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</si>
  <si>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</si>
  <si>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</si>
  <si>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</si>
  <si>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</si>
  <si>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</si>
  <si>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</si>
  <si>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</si>
  <si>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</si>
  <si>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</si>
  <si>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</si>
  <si>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</si>
  <si>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</si>
  <si>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</si>
  <si>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</si>
  <si>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</si>
  <si>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</si>
  <si>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</si>
  <si>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</si>
  <si>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</si>
  <si>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</si>
  <si>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</si>
  <si>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</si>
  <si>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</si>
  <si>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</si>
  <si>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</si>
  <si>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</si>
  <si>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</si>
  <si>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</si>
  <si>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</si>
  <si>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</si>
  <si>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</si>
  <si>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</si>
  <si>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</si>
  <si>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</si>
  <si>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</si>
  <si>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</si>
  <si>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</si>
  <si>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</si>
  <si>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</si>
  <si>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</si>
  <si>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</si>
  <si>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</si>
  <si>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</si>
  <si>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</si>
  <si>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</si>
  <si>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</si>
  <si>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</si>
  <si>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</si>
  <si>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</si>
  <si>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</si>
  <si>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</si>
  <si>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</si>
  <si>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</si>
  <si>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</si>
  <si>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</si>
  <si>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</si>
  <si>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</si>
  <si>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</si>
  <si>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</si>
  <si>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</si>
  <si>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</si>
  <si>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</si>
  <si>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</si>
  <si>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</si>
  <si>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</si>
  <si>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</si>
  <si>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</si>
  <si>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</si>
  <si>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</si>
  <si>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</si>
  <si>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</si>
  <si>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</si>
  <si>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</si>
  <si>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</si>
  <si>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</si>
  <si>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</si>
  <si>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</si>
  <si>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</si>
  <si>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</si>
  <si>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</si>
  <si>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</si>
  <si>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</si>
  <si>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</si>
  <si>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</si>
  <si>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</si>
  <si>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</si>
  <si>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</si>
  <si>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</si>
  <si>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</si>
  <si>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</si>
  <si>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</si>
  <si>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</si>
  <si>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</si>
  <si>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</si>
  <si>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</si>
  <si>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</si>
  <si>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</si>
  <si>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</si>
  <si>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</si>
  <si>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</si>
  <si>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</si>
  <si>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</si>
  <si>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</si>
  <si>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</si>
  <si>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</si>
  <si>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</si>
  <si>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</si>
  <si>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</si>
  <si>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</si>
  <si>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</si>
  <si>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</si>
  <si>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</si>
  <si>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</si>
  <si>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</si>
  <si>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</si>
  <si>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</si>
  <si>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</si>
  <si>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</si>
  <si>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</si>
  <si>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</si>
  <si>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</si>
  <si>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</si>
  <si>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</si>
  <si>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</si>
  <si>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</si>
  <si>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</si>
  <si>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</si>
  <si>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</si>
  <si>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</si>
  <si>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</si>
  <si>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</si>
  <si>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</si>
  <si>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</si>
  <si>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</si>
  <si>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</si>
  <si>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</si>
  <si>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</si>
  <si>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</si>
  <si>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</si>
  <si>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</si>
  <si>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</si>
  <si>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</si>
  <si>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</si>
  <si>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</si>
  <si>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</si>
  <si>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</si>
  <si>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</si>
  <si>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</si>
  <si>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</si>
  <si>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</si>
  <si>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</si>
  <si>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</si>
  <si>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</si>
  <si>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</si>
  <si>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</si>
  <si>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</si>
  <si>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</si>
  <si>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</si>
  <si>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</si>
  <si>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</si>
  <si>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</si>
  <si>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</si>
  <si>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</si>
  <si>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</si>
  <si>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</si>
  <si>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</si>
  <si>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</si>
  <si>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</si>
  <si>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</si>
  <si>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</si>
  <si>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</si>
  <si>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</si>
  <si>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</si>
  <si>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</si>
  <si>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</si>
  <si>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</si>
  <si>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</si>
  <si>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</si>
  <si>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</si>
  <si>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</si>
  <si>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</si>
  <si>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</si>
  <si>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</si>
  <si>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</si>
  <si>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</si>
  <si>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</si>
  <si>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</si>
  <si>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</si>
  <si>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</si>
  <si>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</si>
  <si>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</si>
  <si>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</si>
  <si>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</si>
  <si>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</si>
  <si>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</si>
  <si>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</si>
  <si>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</si>
  <si>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</si>
  <si>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</si>
  <si>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</si>
  <si>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</si>
  <si>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</si>
  <si>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</si>
  <si>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</si>
  <si>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</si>
  <si>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</si>
  <si>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</si>
  <si>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</si>
  <si>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</si>
  <si>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</si>
  <si>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</si>
  <si>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</si>
  <si>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</si>
  <si>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</si>
  <si>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</si>
  <si>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</si>
  <si>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</si>
  <si>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</si>
  <si>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</si>
  <si>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</si>
  <si>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</si>
  <si>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</si>
  <si>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</si>
  <si>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</si>
  <si>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</si>
  <si>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</si>
  <si>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</si>
  <si>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</si>
  <si>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</si>
  <si>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</si>
  <si>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</si>
  <si>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</si>
  <si>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</si>
  <si>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</si>
  <si>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</si>
  <si>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</si>
  <si>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</si>
  <si>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</si>
  <si>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</si>
  <si>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</si>
  <si>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</si>
  <si>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</si>
  <si>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</si>
  <si>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</si>
  <si>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</si>
  <si>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</si>
  <si>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</si>
  <si>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</si>
  <si>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</si>
  <si>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</si>
  <si>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</si>
  <si>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</si>
  <si>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</si>
  <si>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</si>
  <si>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</si>
  <si>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</si>
  <si>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</si>
  <si>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</si>
  <si>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</si>
  <si>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</si>
  <si>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</si>
  <si>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</si>
  <si>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</si>
  <si>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</si>
  <si>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</si>
  <si>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</si>
  <si>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</si>
  <si>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</si>
  <si>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</si>
  <si>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</si>
  <si>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</si>
  <si>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</si>
  <si>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</si>
  <si>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</si>
  <si>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</si>
  <si>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</si>
  <si>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</si>
  <si>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</si>
  <si>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</si>
  <si>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</si>
  <si>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</si>
  <si>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</si>
  <si>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</si>
  <si>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</si>
  <si>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</si>
  <si>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</si>
  <si>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</si>
  <si>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</si>
  <si>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</si>
  <si>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</si>
  <si>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</si>
  <si>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</si>
  <si>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</si>
  <si>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</si>
  <si>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</si>
  <si>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</si>
  <si>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</si>
  <si>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</si>
  <si>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</si>
  <si>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</si>
  <si>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</si>
  <si>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</si>
  <si>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</si>
  <si>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</si>
  <si>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</si>
  <si>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</si>
  <si>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</si>
  <si>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</si>
  <si>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</si>
  <si>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</si>
  <si>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</si>
  <si>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</si>
  <si>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</si>
  <si>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</si>
  <si>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</si>
  <si>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</si>
  <si>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</si>
  <si>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</si>
  <si>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</si>
  <si>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</si>
  <si>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</si>
  <si>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</si>
  <si>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</si>
  <si>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</si>
  <si>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</si>
  <si>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</si>
  <si>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</si>
  <si>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</si>
  <si>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</si>
  <si>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</si>
  <si>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</si>
  <si>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</si>
  <si>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</si>
  <si>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</si>
  <si>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</si>
  <si>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</si>
  <si>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</si>
  <si>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</si>
  <si>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</si>
  <si>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</si>
  <si>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</si>
  <si>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</si>
  <si>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</si>
  <si>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</si>
  <si>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</si>
  <si>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</si>
  <si>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</si>
  <si>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</si>
  <si>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</si>
  <si>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</si>
  <si>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</si>
  <si>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</si>
  <si>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</si>
  <si>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</si>
  <si>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</si>
  <si>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</si>
  <si>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</si>
  <si>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</si>
  <si>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</si>
  <si>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</si>
  <si>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</si>
  <si>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</si>
  <si>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</si>
  <si>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</si>
  <si>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</si>
  <si>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</si>
  <si>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</si>
  <si>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</si>
  <si>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</si>
  <si>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</si>
  <si>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</si>
  <si>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</si>
  <si>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</si>
  <si>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</si>
  <si>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</si>
  <si>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</si>
  <si>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</si>
  <si>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</si>
  <si>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</si>
  <si>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</si>
  <si>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</si>
  <si>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</si>
  <si>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</si>
  <si>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</si>
  <si>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</si>
  <si>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</si>
  <si>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</si>
  <si>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</si>
  <si>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</si>
  <si>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</si>
  <si>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</si>
  <si>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</si>
  <si>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</si>
  <si>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</si>
  <si>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</si>
  <si>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</si>
  <si>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</si>
  <si>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</si>
  <si>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</si>
  <si>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</si>
  <si>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</si>
  <si>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</si>
  <si>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</si>
  <si>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</si>
  <si>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</si>
  <si>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</si>
  <si>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</si>
  <si>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</si>
  <si>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</si>
  <si>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</si>
  <si>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</si>
  <si>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</si>
  <si>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</si>
  <si>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</si>
  <si>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</si>
  <si>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</si>
  <si>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</si>
  <si>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</si>
  <si>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</si>
  <si>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</si>
  <si>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</si>
  <si>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</si>
  <si>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</si>
  <si>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</si>
  <si>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</si>
  <si>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</si>
  <si>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</si>
  <si>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</si>
  <si>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</si>
  <si>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</si>
  <si>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</si>
  <si>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</si>
  <si>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</si>
  <si>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</si>
  <si>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</si>
  <si>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</si>
  <si>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</si>
  <si>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</si>
  <si>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</si>
  <si>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</si>
  <si>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</si>
  <si>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</si>
  <si>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</si>
  <si>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</si>
  <si>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</si>
  <si>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</si>
  <si>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</si>
  <si>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</si>
  <si>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</si>
  <si>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</si>
  <si>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</si>
  <si>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</si>
  <si>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</si>
  <si>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</si>
  <si>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</si>
  <si>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</si>
  <si>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</si>
  <si>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</si>
  <si>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</si>
  <si>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</si>
  <si>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</si>
  <si>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</si>
  <si>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</si>
  <si>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</si>
  <si>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</si>
  <si>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</si>
  <si>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</si>
  <si>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</si>
  <si>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</si>
  <si>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</si>
  <si>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</si>
  <si>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</si>
  <si>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</si>
  <si>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</si>
  <si>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</si>
  <si>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</si>
  <si>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</si>
  <si>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</si>
  <si>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</si>
  <si>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</si>
  <si>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</si>
  <si>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</si>
  <si>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</si>
  <si>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</si>
  <si>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</si>
  <si>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</si>
  <si>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</si>
  <si>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</si>
  <si>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</si>
  <si>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</si>
  <si>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</si>
  <si>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</si>
  <si>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</si>
  <si>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</si>
  <si>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</si>
  <si>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</si>
  <si>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</si>
  <si>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</si>
  <si>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</si>
  <si>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</si>
  <si>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</si>
  <si>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</si>
  <si>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</si>
  <si>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</si>
  <si>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</si>
  <si>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</si>
  <si>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</si>
  <si>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</si>
  <si>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</si>
  <si>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</si>
  <si>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</si>
  <si>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</si>
  <si>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</si>
  <si>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</si>
  <si>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</si>
  <si>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</si>
  <si>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</si>
  <si>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</si>
  <si>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</si>
  <si>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</si>
  <si>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</si>
  <si>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</si>
  <si>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</si>
  <si>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</si>
  <si>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</si>
  <si>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</si>
  <si>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</si>
  <si>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</si>
  <si>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</si>
  <si>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</si>
  <si>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</si>
  <si>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</si>
  <si>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</si>
  <si>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</si>
  <si>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</si>
  <si>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</si>
  <si>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</si>
  <si>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</si>
  <si>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</si>
  <si>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</si>
  <si>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</si>
  <si>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</si>
  <si>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</si>
  <si>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</si>
  <si>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</si>
  <si>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</si>
  <si>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</si>
  <si>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</si>
  <si>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</si>
  <si>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</si>
  <si>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</si>
  <si>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</si>
  <si>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</si>
  <si>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</si>
  <si>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</si>
  <si>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</si>
  <si>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</si>
  <si>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</si>
  <si>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</si>
  <si>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</si>
  <si>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</si>
  <si>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</si>
  <si>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</si>
  <si>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</si>
  <si>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</si>
  <si>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</si>
  <si>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</si>
  <si>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</si>
  <si>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</si>
  <si>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</si>
  <si>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</si>
  <si>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</si>
  <si>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</si>
  <si>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</si>
  <si>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</si>
  <si>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</si>
  <si>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</si>
  <si>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</si>
  <si>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</si>
  <si>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</si>
  <si>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</si>
  <si>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</si>
  <si>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</si>
  <si>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</si>
  <si>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</si>
  <si>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</si>
  <si>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</si>
  <si>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</si>
  <si>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</si>
  <si>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</si>
  <si>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</si>
  <si>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</si>
  <si>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</si>
  <si>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</si>
  <si>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</si>
  <si>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</si>
  <si>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</si>
  <si>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</si>
  <si>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</si>
  <si>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</si>
  <si>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</si>
  <si>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</si>
  <si>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</si>
  <si>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</si>
  <si>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</si>
  <si>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</si>
  <si>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</si>
  <si>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</si>
  <si>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</si>
  <si>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</si>
  <si>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</si>
  <si>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</si>
  <si>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</si>
  <si>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</si>
  <si>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</si>
  <si>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</si>
  <si>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</si>
  <si>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</si>
  <si>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</si>
  <si>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</si>
  <si>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</si>
  <si>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</si>
  <si>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</si>
  <si>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</si>
  <si>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</si>
  <si>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</si>
  <si>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</si>
  <si>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</si>
  <si>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</si>
  <si>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</si>
  <si>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</si>
  <si>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</si>
  <si>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</si>
  <si>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</si>
  <si>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</si>
  <si>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</si>
  <si>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</si>
  <si>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</si>
  <si>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</si>
  <si>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</si>
  <si>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</si>
  <si>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</si>
  <si>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</si>
  <si>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</si>
  <si>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</si>
  <si>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</si>
  <si>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</si>
  <si>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</si>
  <si>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</si>
  <si>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</si>
  <si>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</si>
  <si>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</si>
  <si>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</si>
  <si>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</si>
  <si>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</si>
  <si>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</si>
  <si>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</si>
  <si>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</si>
  <si>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</si>
  <si>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</si>
  <si>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</si>
  <si>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</si>
  <si>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</si>
  <si>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</si>
  <si>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</si>
  <si>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</si>
  <si>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</si>
  <si>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</si>
  <si>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</si>
  <si>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</si>
  <si>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</si>
  <si>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</si>
  <si>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</si>
  <si>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</si>
  <si>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</si>
  <si>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</si>
  <si>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</si>
  <si>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</si>
  <si>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</si>
  <si>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</si>
  <si>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</si>
  <si>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</si>
  <si>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</si>
  <si>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</si>
  <si>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</si>
  <si>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</si>
  <si>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</si>
  <si>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</si>
  <si>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</si>
  <si>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</si>
  <si>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</si>
  <si>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</si>
  <si>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</si>
  <si>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</si>
  <si>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</si>
  <si>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</si>
  <si>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</si>
  <si>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</si>
  <si>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</si>
  <si>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</si>
  <si>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</si>
  <si>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</si>
  <si>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</si>
  <si>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</si>
  <si>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</si>
  <si>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</si>
  <si>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</si>
  <si>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</si>
  <si>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</si>
  <si>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</si>
  <si>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</si>
  <si>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</si>
  <si>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</si>
  <si>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</si>
  <si>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</si>
  <si>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</si>
  <si>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</si>
  <si>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</si>
  <si>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</si>
  <si>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</si>
  <si>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</si>
  <si>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</si>
  <si>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</si>
  <si>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</si>
  <si>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</si>
  <si>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</si>
  <si>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</si>
  <si>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</si>
  <si>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</si>
  <si>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</si>
  <si>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</si>
  <si>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</si>
  <si>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</si>
  <si>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</si>
  <si>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</si>
  <si>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</si>
  <si>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</si>
  <si>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</si>
  <si>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</si>
  <si>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</si>
  <si>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</si>
  <si>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</si>
  <si>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</si>
  <si>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</si>
  <si>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</si>
  <si>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</si>
  <si>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</si>
  <si>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</si>
  <si>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</si>
  <si>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</si>
  <si>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</si>
  <si>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</si>
  <si>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</si>
  <si>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</si>
  <si>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</si>
  <si>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</si>
  <si>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</si>
  <si>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</si>
  <si>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</si>
  <si>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</si>
  <si>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</si>
  <si>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</si>
  <si>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</si>
  <si>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</si>
  <si>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</si>
  <si>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</si>
  <si>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</si>
  <si>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</si>
  <si>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</si>
  <si>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</si>
  <si>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</si>
  <si>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</si>
  <si>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</si>
  <si>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</si>
  <si>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</si>
  <si>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</si>
  <si>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</si>
  <si>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</si>
  <si>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</si>
  <si>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</si>
  <si>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</si>
  <si>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</si>
  <si>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</si>
  <si>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</si>
  <si>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</si>
  <si>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</si>
  <si>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</si>
  <si>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</si>
  <si>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</si>
  <si>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</si>
  <si>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</si>
  <si>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</si>
  <si>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</si>
  <si>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</si>
  <si>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</si>
  <si>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</si>
  <si>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</si>
  <si>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</si>
  <si>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</si>
  <si>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</si>
  <si>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</si>
  <si>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</si>
  <si>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</si>
  <si>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</si>
  <si>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</si>
  <si>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</si>
  <si>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</si>
  <si>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</si>
  <si>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</si>
  <si>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</si>
  <si>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</si>
  <si>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</si>
  <si>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</si>
  <si>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</si>
  <si>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</si>
  <si>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</si>
  <si>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</si>
  <si>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</si>
  <si>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</si>
  <si>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</si>
  <si>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</si>
  <si>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</si>
  <si>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</si>
  <si>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</si>
  <si>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</si>
  <si>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</si>
  <si>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</si>
  <si>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</si>
  <si>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</si>
  <si>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</si>
  <si>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</si>
  <si>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</si>
  <si>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</si>
  <si>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</si>
  <si>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</si>
  <si>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</si>
  <si>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</si>
  <si>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</si>
  <si>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</si>
  <si>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</si>
  <si>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</si>
  <si>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</si>
  <si>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</si>
  <si>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</si>
  <si>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</si>
  <si>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</si>
  <si>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</si>
  <si>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</si>
  <si>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</si>
  <si>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</si>
  <si>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</si>
  <si>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</si>
  <si>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</si>
  <si>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</si>
  <si>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</si>
  <si>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</si>
  <si>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</si>
  <si>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</si>
  <si>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</si>
  <si>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</si>
  <si>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</si>
  <si>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</si>
  <si>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</si>
  <si>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</si>
  <si>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</si>
  <si>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</si>
  <si>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</si>
  <si>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</si>
  <si>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</si>
  <si>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</si>
  <si>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</si>
  <si>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</si>
  <si>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</si>
  <si>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</si>
  <si>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</si>
  <si>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</si>
  <si>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</si>
  <si>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</si>
  <si>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</si>
  <si>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</si>
  <si>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</si>
  <si>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</si>
  <si>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</si>
  <si>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</si>
  <si>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</si>
  <si>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</si>
  <si>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</si>
  <si>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</si>
  <si>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</si>
  <si>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</si>
  <si>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</si>
  <si>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</si>
  <si>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</si>
  <si>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</si>
  <si>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</si>
  <si>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</si>
  <si>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</si>
  <si>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</si>
  <si>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</si>
  <si>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</si>
  <si>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</si>
  <si>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</si>
  <si>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</si>
  <si>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</si>
  <si>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</si>
  <si>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</si>
  <si>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</si>
  <si>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</si>
  <si>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</si>
  <si>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</si>
  <si>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</si>
  <si>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</si>
  <si>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</si>
  <si>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</si>
  <si>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</si>
  <si>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</si>
  <si>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</si>
  <si>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</si>
  <si>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</si>
  <si>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</si>
  <si>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</si>
  <si>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</si>
  <si>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</si>
  <si>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</si>
  <si>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</si>
  <si>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</si>
  <si>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</si>
  <si>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</si>
  <si>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</si>
  <si>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</si>
  <si>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</si>
  <si>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</si>
  <si>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</si>
  <si>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</si>
  <si>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</si>
  <si>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</si>
  <si>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</si>
  <si>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</si>
  <si>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</si>
  <si>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</si>
  <si>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</si>
  <si>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</si>
  <si>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</si>
  <si>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</si>
  <si>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</si>
  <si>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</si>
  <si>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</si>
  <si>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</si>
  <si>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</si>
  <si>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</si>
  <si>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</si>
  <si>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</si>
  <si>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</si>
  <si>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</si>
  <si>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</si>
  <si>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</si>
  <si>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</si>
  <si>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</si>
  <si>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</si>
  <si>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</si>
  <si>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</si>
  <si>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</si>
  <si>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</si>
  <si>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</si>
  <si>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</si>
  <si>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</si>
  <si>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</si>
  <si>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</si>
  <si>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</si>
  <si>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</si>
  <si>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</si>
  <si>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</si>
  <si>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</si>
  <si>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</si>
  <si>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</si>
  <si>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</si>
  <si>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</si>
  <si>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</si>
  <si>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</si>
  <si>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</si>
  <si>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</si>
  <si>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</si>
  <si>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</si>
  <si>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</si>
  <si>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</si>
  <si>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</si>
  <si>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</si>
  <si>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</si>
  <si>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</si>
  <si>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</si>
  <si>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</si>
  <si>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</si>
  <si>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</si>
  <si>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</si>
  <si>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</si>
  <si>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</si>
  <si>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</si>
  <si>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</si>
  <si>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</si>
  <si>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</si>
  <si>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</si>
  <si>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</si>
  <si>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</si>
  <si>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</si>
  <si>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</si>
  <si>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</si>
  <si>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</si>
  <si>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</si>
  <si>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AEM Implementation Soyum Foods</t>
  </si>
  <si>
    <t>quoteid</t>
  </si>
  <si>
    <t>QUO-01870-P5B2G1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</si>
</sst>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67"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1" activePane="bottomLeft" state="frozen"/>
      <selection activeCell="G20" sqref="G20"/>
      <selection pane="bottomLeft" activeCell="D32" sqref="D32"/>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45776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47" activePane="bottomLeft" state="frozen"/>
      <selection activeCell="G20" sqref="G20"/>
      <selection pane="bottomLeft" activeCell="C54" sqref="C54"/>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40650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861000</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0.54546561168594032</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AEM Implementation Soyum Foods</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45776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444600</v>
      </c>
      <c r="AE28" s="517">
        <f>IF(AE48="","",SUMIFS($D$291:$D$390,$AE$48:$AE$147,"Yes"))</f>
        <v>159000</v>
      </c>
      <c r="AF28" s="1457">
        <f>IF(AF48="","",SUMIFS($D$291:$D$390,$AF$48:$AF$147,"Yes"))</f>
        <v>282600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196200</v>
      </c>
      <c r="AE29" s="517">
        <f>IF(AE48="","",SUMIFS($F$291:$F$390,$AE$48:$AE$147,"Yes"))</f>
        <v>69000</v>
      </c>
      <c r="AF29" s="1457">
        <f>IF(AF48="","",SUMIFS($F$291:$F$390,$AF$48:$AF$147,"Yes"))</f>
        <v>126600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38.02325581395349</v>
      </c>
      <c r="AE30" s="1459">
        <f>IFERROR(AE29/SUMIFS($M$291:$M$390,AE48:AE147,"Yes"),"")</f>
        <v>38.333333333333336</v>
      </c>
      <c r="AF30" s="1460">
        <f>IFERROR(AF29/SUMIFS($M$291:$M$390,AF48:AF147,"Yes"),"")</f>
        <v>45.869565217391305</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3167</v>
      </c>
      <c r="E48" s="1183" t="str">
        <f>IFERROR(_xlfn.XLOOKUP(D48,TADIndia,'Rates &amp; Drop Downs INT'!$CH$6:$CH$747),"")</f>
        <v>Technology_Solutions</v>
      </c>
      <c r="F48" s="1183" t="s">
        <v>3166</v>
      </c>
      <c r="G48" s="1187" t="str">
        <f>IFERROR(_xlfn.XLOOKUP(F48,'Rates &amp; Drop Downs INT'!$CI$6:$CI$747,'Rates &amp; Drop Downs INT'!$CJ$6:$CJ$747),"")</f>
        <v>Data_and_AI</v>
      </c>
      <c r="H48" s="1187" t="str">
        <f>_xlfn.XLOOKUP(F48,'Rates &amp; Drop Downs INT'!$DF$6:$DF$173,'Rates &amp; Drop Downs INT'!$DG$6:$DG$173,"")</f>
        <v>DATAAISP</v>
      </c>
      <c r="I48" s="1183" t="s">
        <v>1182</v>
      </c>
      <c r="J48" s="1184" t="str">
        <f>C48</f>
        <v>TADNorthAmerica</v>
      </c>
      <c r="K48" s="1682" t="s">
        <v>315</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32</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3167</v>
      </c>
      <c r="E49" s="1187" t="str">
        <f>IFERROR(_xlfn.XLOOKUP(D49,TADIndia,'Rates &amp; Drop Downs INT'!$CH$6:$CH$747),"")</f>
        <v>Technology_Solutions</v>
      </c>
      <c r="F49" s="1187" t="s">
        <v>3166</v>
      </c>
      <c r="G49" s="1187" t="str">
        <f>IFERROR(_xlfn.XLOOKUP(F49,'Rates &amp; Drop Downs INT'!$CI$6:$CI$747,'Rates &amp; Drop Downs INT'!$CJ$6:$CJ$747),"")</f>
        <v>Data_and_AI</v>
      </c>
      <c r="H49" s="1187" t="str">
        <f>_xlfn.XLOOKUP(F49,'Rates &amp; Drop Downs INT'!$DF$6:$DF$173,'Rates &amp; Drop Downs INT'!$DG$6:$DG$173,"")</f>
        <v>DATAAISP</v>
      </c>
      <c r="I49" s="1187" t="s">
        <v>1182</v>
      </c>
      <c r="J49" s="1188" t="str">
        <f>C49</f>
        <v>TADIndia</v>
      </c>
      <c r="K49" s="1682" t="s">
        <v>3357</v>
      </c>
      <c r="L49" s="1683"/>
      <c r="M49" s="1684"/>
      <c r="N49" s="1190" cm="1">
        <f t="array" ref="N49">IF($E$20="Credera US",V49,SUMPRODUCT(('Rates &amp; Drop Downs INT'!$CG$6:$CG$747=$D49)*('Rates &amp; Drop Downs INT'!$CI$6:$CI$747=$F49)*('Rates &amp; Drop Downs INT'!$CK$6:$CK$747=$K49)*('Rates &amp; Drop Downs INT'!$CM$6:$CM$747)))</f>
        <v>3</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3</v>
      </c>
      <c r="W49" s="1203" t="str">
        <f t="shared" ref="W49:W112" si="0">IF(ISBLANK($K49)," ",IF(OR($C49="Credera US",$C49="TADNorthAmerica"),"Onshore","Offshore"))</f>
        <v>Offshore</v>
      </c>
      <c r="X49" s="1203"/>
      <c r="Y49" s="880">
        <v>20</v>
      </c>
      <c r="Z49" s="1187"/>
      <c r="AA49" s="1190"/>
      <c r="AB49" s="1274"/>
      <c r="AC49" s="1690" t="s">
        <v>78</v>
      </c>
      <c r="AD49" s="1691"/>
      <c r="AE49" s="881" t="s">
        <v>78</v>
      </c>
      <c r="AF49" s="892" t="s">
        <v>78</v>
      </c>
      <c r="AH49" s="1685"/>
      <c r="AI49" s="1685"/>
      <c r="CM49" s="425"/>
    </row>
    <row r="50" spans="3:91" ht="16.05" customHeight="1" x14ac:dyDescent="0.25">
      <c r="C50" s="1186" t="s">
        <v>269</v>
      </c>
      <c r="D50" s="1187" t="s">
        <v>336</v>
      </c>
      <c r="E50" s="1187" t="str">
        <f>IFERROR(_xlfn.XLOOKUP(D50,TADIndia,'Rates &amp; Drop Downs INT'!$CH$6:$CH$747),"")</f>
        <v>Delivery</v>
      </c>
      <c r="F50" s="1187" t="s">
        <v>336</v>
      </c>
      <c r="G50" s="1187" t="str">
        <f>IFERROR(_xlfn.XLOOKUP(F50,'Rates &amp; Drop Downs INT'!$CI$6:$CI$747,'Rates &amp; Drop Downs INT'!$CJ$6:$CJ$747),"")</f>
        <v>Delivery_Delivery</v>
      </c>
      <c r="H50" s="1187" t="str">
        <f>_xlfn.XLOOKUP(F50,'Rates &amp; Drop Downs INT'!$DF$6:$DF$173,'Rates &amp; Drop Downs INT'!$DG$6:$DG$173,"")</f>
        <v>DELIVERYDELIVERYSP</v>
      </c>
      <c r="I50" s="1187"/>
      <c r="J50" s="1188" t="str">
        <f>C50</f>
        <v>TADIndia</v>
      </c>
      <c r="K50" s="1682" t="s">
        <v>444</v>
      </c>
      <c r="L50" s="1683"/>
      <c r="M50" s="1684"/>
      <c r="N50" s="1190" cm="1">
        <f t="array" ref="N50">IF($E$20="Credera US",V50,SUMPRODUCT(('Rates &amp; Drop Downs INT'!$CG$6:$CG$747=$D50)*('Rates &amp; Drop Downs INT'!$CI$6:$CI$747=$F50)*('Rates &amp; Drop Downs INT'!$CK$6:$CK$747=$K50)*('Rates &amp; Drop Downs INT'!$CM$6:$CM$747)))</f>
        <v>5</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0</v>
      </c>
      <c r="W50" s="1203" t="str">
        <f t="shared" si="0"/>
        <v>Offshore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3329</v>
      </c>
      <c r="G51" s="1187" t="str">
        <f>IFERROR(_xlfn.XLOOKUP(F51,'Rates &amp; Drop Downs INT'!$CI$6:$CI$747,'Rates &amp; Drop Downs INT'!$CJ$6:$CJ$747),"")</f>
        <v>Strategy</v>
      </c>
      <c r="H51" s="1187" t="str">
        <f>_xlfn.XLOOKUP(F51,'Rates &amp; Drop Downs INT'!$DF$6:$DF$173,'Rates &amp; Drop Downs INT'!$DG$6:$DG$173,"")</f>
        <v>STRATEGYSTRATEGYSP</v>
      </c>
      <c r="I51" s="1187" t="s">
        <v>3459</v>
      </c>
      <c r="J51" s="1188" t="str">
        <f t="shared" ref="J51:J112" si="1">C51</f>
        <v>TADIndia</v>
      </c>
      <c r="K51" s="1682" t="s">
        <v>728</v>
      </c>
      <c r="L51" s="1683"/>
      <c r="M51" s="1684"/>
      <c r="N51" s="1190" cm="1">
        <f t="array" ref="N51">IF($E$20="Credera US",V51,SUMPRODUCT(('Rates &amp; Drop Downs INT'!$CG$6:$CG$747=$D51)*('Rates &amp; Drop Downs INT'!$CI$6:$CI$747=$F51)*('Rates &amp; Drop Downs INT'!$CK$6:$CK$747=$K51)*('Rates &amp; Drop Downs INT'!$CM$6:$CM$747)))</f>
        <v>3</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3</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269</v>
      </c>
      <c r="D52" s="1187" t="s">
        <v>325</v>
      </c>
      <c r="E52" s="1187" t="str">
        <f>IFERROR(_xlfn.XLOOKUP(D52,TADIndia,'Rates &amp; Drop Downs INT'!$CH$6:$CH$747),"")</f>
        <v>Experience_Design</v>
      </c>
      <c r="F52" s="1187" t="s">
        <v>3329</v>
      </c>
      <c r="G52" s="1187" t="str">
        <f>IFERROR(_xlfn.XLOOKUP(F52,'Rates &amp; Drop Downs INT'!$CI$6:$CI$747,'Rates &amp; Drop Downs INT'!$CJ$6:$CJ$747),"")</f>
        <v>Strategy</v>
      </c>
      <c r="H52" s="1187" t="str">
        <f>_xlfn.XLOOKUP(F52,'Rates &amp; Drop Downs INT'!$DF$6:$DF$173,'Rates &amp; Drop Downs INT'!$DG$6:$DG$173,"")</f>
        <v>STRATEGYSTRATEGYSP</v>
      </c>
      <c r="I52" s="1187"/>
      <c r="J52" s="1188" t="str">
        <f t="shared" si="1"/>
        <v>TADIndia</v>
      </c>
      <c r="K52" s="1682" t="s">
        <v>727</v>
      </c>
      <c r="L52" s="1683"/>
      <c r="M52" s="1684"/>
      <c r="N52" s="1190" cm="1">
        <f t="array" ref="N52">IF($E$20="Credera US",V52,SUMPRODUCT(('Rates &amp; Drop Downs INT'!$CG$6:$CG$747=$D52)*('Rates &amp; Drop Downs INT'!$CI$6:$CI$747=$F52)*('Rates &amp; Drop Downs INT'!$CK$6:$CK$747=$K52)*('Rates &amp; Drop Downs INT'!$CM$6:$CM$747)))</f>
        <v>2</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2</v>
      </c>
      <c r="W52" s="1203" t="str">
        <f t="shared" si="0"/>
        <v>Offshore</v>
      </c>
      <c r="X52" s="1203"/>
      <c r="Y52" s="880">
        <v>40</v>
      </c>
      <c r="Z52" s="1187"/>
      <c r="AA52" s="1190"/>
      <c r="AB52" s="1274"/>
      <c r="AC52" s="1690" t="s">
        <v>78</v>
      </c>
      <c r="AD52" s="1691"/>
      <c r="AE52" s="881"/>
      <c r="AF52" s="892"/>
      <c r="AH52" s="1685"/>
      <c r="AI52" s="1685"/>
      <c r="CM52" s="425"/>
    </row>
    <row r="53" spans="3:91" ht="16.05" customHeight="1" x14ac:dyDescent="0.25">
      <c r="C53" s="1186" t="s">
        <v>430</v>
      </c>
      <c r="D53" s="1187" t="s">
        <v>336</v>
      </c>
      <c r="E53" s="1187" t="str">
        <f>IFERROR(_xlfn.XLOOKUP(D53,TADIndia,'Rates &amp; Drop Downs INT'!$CH$6:$CH$747),"")</f>
        <v>Delivery</v>
      </c>
      <c r="F53" s="1187" t="s">
        <v>336</v>
      </c>
      <c r="G53" s="1187" t="str">
        <f>IFERROR(_xlfn.XLOOKUP(F53,'Rates &amp; Drop Downs INT'!$CI$6:$CI$747,'Rates &amp; Drop Downs INT'!$CJ$6:$CJ$747),"")</f>
        <v>Delivery_Delivery</v>
      </c>
      <c r="H53" s="1187" t="str">
        <f>_xlfn.XLOOKUP(F53,'Rates &amp; Drop Downs INT'!$DF$6:$DF$173,'Rates &amp; Drop Downs INT'!$DG$6:$DG$173,"")</f>
        <v>DELIVERYDELIVERYSP</v>
      </c>
      <c r="I53" s="1187" t="s">
        <v>1779</v>
      </c>
      <c r="J53" s="1188" t="str">
        <f t="shared" si="1"/>
        <v>TADNorthAmerica</v>
      </c>
      <c r="K53" s="1682" t="s">
        <v>444</v>
      </c>
      <c r="L53" s="1683"/>
      <c r="M53" s="1684"/>
      <c r="N53" s="1190" cm="1">
        <f t="array" ref="N53">IF($E$20="Credera US",V53,SUMPRODUCT(('Rates &amp; Drop Downs INT'!$CG$6:$CG$747=$D53)*('Rates &amp; Drop Downs INT'!$CI$6:$CI$747=$F53)*('Rates &amp; Drop Downs INT'!$CK$6:$CK$747=$K53)*('Rates &amp; Drop Downs INT'!$CM$6:$CM$747)))</f>
        <v>5</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0</v>
      </c>
      <c r="W53" s="1203" t="str">
        <f t="shared" si="0"/>
        <v>Onshore</v>
      </c>
      <c r="X53" s="1203"/>
      <c r="Y53" s="880">
        <v>32</v>
      </c>
      <c r="Z53" s="1187"/>
      <c r="AA53" s="1190"/>
      <c r="AB53" s="1274"/>
      <c r="AC53" s="1690"/>
      <c r="AD53" s="1691"/>
      <c r="AE53" s="881"/>
      <c r="AF53" s="892"/>
      <c r="AH53" s="1685"/>
      <c r="AI53" s="1685"/>
      <c r="CM53" s="425"/>
    </row>
    <row r="54" spans="3:91" ht="16.05" customHeight="1" x14ac:dyDescent="0.25">
      <c r="C54" s="1186" t="s">
        <v>269</v>
      </c>
      <c r="D54" s="1187" t="s">
        <v>276</v>
      </c>
      <c r="E54" s="1187" t="str">
        <f>IFERROR(_xlfn.XLOOKUP(D54,TADIndia,'Rates &amp; Drop Downs INT'!$CH$6:$CH$747),"")</f>
        <v>Salesforce</v>
      </c>
      <c r="F54" s="1187" t="s">
        <v>1237</v>
      </c>
      <c r="G54" s="1187" t="str">
        <f>IFERROR(_xlfn.XLOOKUP(F54,'Rates &amp; Drop Downs INT'!$CI$6:$CI$747,'Rates &amp; Drop Downs INT'!$CJ$6:$CJ$747),"")</f>
        <v>Salesforce_Data_Cloud</v>
      </c>
      <c r="H54" s="1187" t="str">
        <f>_xlfn.XLOOKUP(F54,'Rates &amp; Drop Downs INT'!$DF$6:$DF$173,'Rates &amp; Drop Downs INT'!$DG$6:$DG$173,"")</f>
        <v>DATACLOUDSP</v>
      </c>
      <c r="I54" s="1187" t="s">
        <v>1798</v>
      </c>
      <c r="J54" s="1188"/>
      <c r="K54" s="1682" t="s">
        <v>370</v>
      </c>
      <c r="L54" s="1683"/>
      <c r="M54" s="1684"/>
      <c r="N54" s="1190" cm="1">
        <f t="array" ref="N54">IF($E$20="Credera US",V54,SUMPRODUCT(('Rates &amp; Drop Downs INT'!$CG$6:$CG$747=$D54)*('Rates &amp; Drop Downs INT'!$CI$6:$CI$747=$F54)*('Rates &amp; Drop Downs INT'!$CK$6:$CK$747=$K54)*('Rates &amp; Drop Downs INT'!$CM$6:$CM$747)))</f>
        <v>4</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4</v>
      </c>
      <c r="W54" s="1203" t="str">
        <f t="shared" si="0"/>
        <v>Offshore</v>
      </c>
      <c r="X54" s="1203"/>
      <c r="Y54" s="880">
        <v>40</v>
      </c>
      <c r="Z54" s="1187"/>
      <c r="AA54" s="1190"/>
      <c r="AB54" s="1274"/>
      <c r="AC54" s="1690"/>
      <c r="AD54" s="1691"/>
      <c r="AE54" s="881"/>
      <c r="AF54" s="892"/>
      <c r="AH54" s="1685"/>
      <c r="AI54" s="168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2"/>
      <c r="L55" s="1683"/>
      <c r="M55" s="1684"/>
      <c r="N55" s="1190" cm="1">
        <f t="array" ref="N55">IF($E$20="Credera US",V55,SUMPRODUCT(('Rates &amp; Drop Downs INT'!$CG$6:$CG$747=$D55)*('Rates &amp; Drop Downs INT'!$CI$6:$CI$747=$F55)*('Rates &amp; Drop Downs INT'!$CK$6:$CK$747=$K55)*('Rates &amp; Drop Downs INT'!$CM$6:$CM$747)))</f>
        <v>0</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t="str">
        <f>IFERROR(IF(ISBLANK(K55)," ",_xlfn.XLOOKUP(K55,'Rates &amp; Drop Downs INT'!C:C,'Rates &amp; Drop Downs INT'!J:J)),N55)</f>
        <v xml:space="preserve"> </v>
      </c>
      <c r="W55" s="1203" t="str">
        <f t="shared" si="0"/>
        <v xml:space="preserve"> </v>
      </c>
      <c r="X55" s="1203"/>
      <c r="Y55" s="880">
        <v>40</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45776</v>
      </c>
      <c r="G158" s="1390"/>
      <c r="H158" s="1390"/>
      <c r="I158" s="1390">
        <f>IFERROR(F158+7-WEEKDAY(F158,3),"")</f>
        <v>45782</v>
      </c>
      <c r="J158" s="1390"/>
      <c r="K158" s="1390">
        <f>IFERROR(I158+7," ")</f>
        <v>45789</v>
      </c>
      <c r="L158" s="1390">
        <f>IFERROR(K158+7," ")</f>
        <v>45796</v>
      </c>
      <c r="M158" s="1390">
        <f>IFERROR(L158+7," ")</f>
        <v>45803</v>
      </c>
      <c r="N158" s="1390">
        <f>IFERROR(M158+7," ")</f>
        <v>45810</v>
      </c>
      <c r="O158" s="1390">
        <f>IFERROR(N158+7," ")</f>
        <v>45817</v>
      </c>
      <c r="P158" s="1390">
        <f t="shared" ref="P158" si="9">IFERROR(O158+7," ")</f>
        <v>45824</v>
      </c>
      <c r="Q158" s="1390">
        <f t="shared" ref="Q158" si="10">IFERROR(P158+7," ")</f>
        <v>45831</v>
      </c>
      <c r="R158" s="1390">
        <f t="shared" ref="R158" si="11">IFERROR(Q158+7," ")</f>
        <v>45838</v>
      </c>
      <c r="S158" s="1390">
        <f t="shared" ref="S158" si="12">IFERROR(R158+7," ")</f>
        <v>45845</v>
      </c>
      <c r="T158" s="1390">
        <f t="shared" ref="T158" si="13">IFERROR(S158+7," ")</f>
        <v>45852</v>
      </c>
      <c r="U158" s="1390">
        <f t="shared" ref="U158" si="14">IFERROR(T158+7," ")</f>
        <v>45859</v>
      </c>
      <c r="V158" s="1390"/>
      <c r="W158" s="1390"/>
      <c r="X158" s="1390"/>
      <c r="Y158" s="1390">
        <f>IFERROR(U158+7," ")</f>
        <v>45866</v>
      </c>
      <c r="Z158" s="1390">
        <f t="shared" ref="Z158" si="15">IFERROR(Y158+7," ")</f>
        <v>45873</v>
      </c>
      <c r="AA158" s="1390">
        <f t="shared" ref="AA158" si="16">IFERROR(Z158+7," ")</f>
        <v>45880</v>
      </c>
      <c r="AB158" s="1390">
        <f t="shared" ref="AB158" si="17">IFERROR(AA158+7," ")</f>
        <v>45887</v>
      </c>
      <c r="AC158" s="1390"/>
      <c r="AD158" s="1524"/>
      <c r="AE158" s="1524"/>
      <c r="AF158" s="1524"/>
      <c r="AG158" s="1390">
        <f>IFERROR(AB158+7," ")</f>
        <v>45894</v>
      </c>
      <c r="AH158" s="1390">
        <f>IFERROR(AG158+7," ")</f>
        <v>45901</v>
      </c>
      <c r="AI158" s="1390">
        <f t="shared" ref="AI158:BJ158" si="18">IFERROR(AH158+7," ")</f>
        <v>45908</v>
      </c>
      <c r="AJ158" s="1390">
        <f>IFERROR(AI158+7," ")</f>
        <v>45915</v>
      </c>
      <c r="AK158" s="1390">
        <f t="shared" si="18"/>
        <v>45922</v>
      </c>
      <c r="AL158" s="1390">
        <f t="shared" si="18"/>
        <v>45929</v>
      </c>
      <c r="AM158" s="1390">
        <f t="shared" si="18"/>
        <v>45936</v>
      </c>
      <c r="AN158" s="1390">
        <f t="shared" si="18"/>
        <v>45943</v>
      </c>
      <c r="AO158" s="1390">
        <f t="shared" si="18"/>
        <v>45950</v>
      </c>
      <c r="AP158" s="1390">
        <f t="shared" si="18"/>
        <v>45957</v>
      </c>
      <c r="AQ158" s="1390">
        <f t="shared" si="18"/>
        <v>45964</v>
      </c>
      <c r="AR158" s="1390">
        <f t="shared" si="18"/>
        <v>45971</v>
      </c>
      <c r="AS158" s="1390">
        <f t="shared" si="18"/>
        <v>45978</v>
      </c>
      <c r="AT158" s="1390">
        <f t="shared" si="18"/>
        <v>45985</v>
      </c>
      <c r="AU158" s="1390">
        <f t="shared" si="18"/>
        <v>45992</v>
      </c>
      <c r="AV158" s="1390">
        <f t="shared" si="18"/>
        <v>45999</v>
      </c>
      <c r="AW158" s="1390">
        <f t="shared" si="18"/>
        <v>46006</v>
      </c>
      <c r="AX158" s="1390">
        <f t="shared" si="18"/>
        <v>46013</v>
      </c>
      <c r="AY158" s="1390">
        <f t="shared" si="18"/>
        <v>46020</v>
      </c>
      <c r="AZ158" s="1390">
        <f t="shared" si="18"/>
        <v>46027</v>
      </c>
      <c r="BA158" s="1390">
        <f t="shared" si="18"/>
        <v>46034</v>
      </c>
      <c r="BB158" s="1390">
        <f t="shared" si="18"/>
        <v>46041</v>
      </c>
      <c r="BC158" s="1390">
        <f t="shared" si="18"/>
        <v>46048</v>
      </c>
      <c r="BD158" s="1390">
        <f t="shared" si="18"/>
        <v>46055</v>
      </c>
      <c r="BE158" s="1390">
        <f t="shared" si="18"/>
        <v>46062</v>
      </c>
      <c r="BF158" s="1390">
        <f t="shared" si="18"/>
        <v>46069</v>
      </c>
      <c r="BG158" s="1390">
        <f t="shared" si="18"/>
        <v>46076</v>
      </c>
      <c r="BH158" s="1390">
        <f t="shared" si="18"/>
        <v>46083</v>
      </c>
      <c r="BI158" s="1390">
        <f t="shared" si="18"/>
        <v>46090</v>
      </c>
      <c r="BJ158" s="1390">
        <f t="shared" si="18"/>
        <v>46097</v>
      </c>
      <c r="BK158" s="1390">
        <f t="shared" ref="BK158" si="19">IFERROR(BJ158+7," ")</f>
        <v>46104</v>
      </c>
      <c r="BL158" s="1390">
        <f t="shared" ref="BL158" si="20">IFERROR(BK158+7," ")</f>
        <v>46111</v>
      </c>
      <c r="BM158" s="1390">
        <f t="shared" ref="BM158" si="21">IFERROR(BL158+7," ")</f>
        <v>46118</v>
      </c>
      <c r="BN158" s="1390">
        <f>IFERROR(BM158+7," ")</f>
        <v>46125</v>
      </c>
      <c r="BO158" s="1390">
        <f>IFERROR(BN158+7," ")</f>
        <v>46132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45775</v>
      </c>
      <c r="G166" s="883"/>
      <c r="H166" s="883"/>
      <c r="I166" s="883">
        <f>IF(WEEKDAY(I158,1)=2,I158,I158-WEEKDAY(I158,1)+2)</f>
        <v>45782</v>
      </c>
      <c r="J166" s="883"/>
      <c r="K166" s="883">
        <f t="shared" ref="K166:AB166" si="72">IF(WEEKDAY(K158,1)=2,K158,K158-WEEKDAY(K158,1)+2)</f>
        <v>45789</v>
      </c>
      <c r="L166" s="883">
        <f t="shared" si="72"/>
        <v>45796</v>
      </c>
      <c r="M166" s="883">
        <f t="shared" si="72"/>
        <v>45803</v>
      </c>
      <c r="N166" s="883">
        <f t="shared" si="72"/>
        <v>45810</v>
      </c>
      <c r="O166" s="883">
        <f t="shared" si="72"/>
        <v>45817</v>
      </c>
      <c r="P166" s="883">
        <f t="shared" si="72"/>
        <v>45824</v>
      </c>
      <c r="Q166" s="883">
        <f t="shared" si="72"/>
        <v>45831</v>
      </c>
      <c r="R166" s="897">
        <f t="shared" si="72"/>
        <v>45838</v>
      </c>
      <c r="S166" s="901">
        <f t="shared" si="72"/>
        <v>45845</v>
      </c>
      <c r="T166" s="901">
        <f t="shared" si="72"/>
        <v>45852</v>
      </c>
      <c r="U166" s="901">
        <f t="shared" si="72"/>
        <v>45859</v>
      </c>
      <c r="V166" s="901"/>
      <c r="W166" s="901"/>
      <c r="X166" s="901"/>
      <c r="Y166" s="901">
        <f t="shared" si="72"/>
        <v>45866</v>
      </c>
      <c r="Z166" s="901">
        <f t="shared" si="72"/>
        <v>45873</v>
      </c>
      <c r="AA166" s="901">
        <f t="shared" si="72"/>
        <v>45880</v>
      </c>
      <c r="AB166" s="901">
        <f t="shared" si="72"/>
        <v>45887</v>
      </c>
      <c r="AC166" s="901"/>
      <c r="AH166" s="901">
        <f t="shared" ref="AH166:BN166" si="73">IF(WEEKDAY(AH158,1)=2,AH158,AH158-WEEKDAY(AH158,1)+2)</f>
        <v>45901</v>
      </c>
      <c r="AI166" s="901">
        <f t="shared" si="73"/>
        <v>45908</v>
      </c>
      <c r="AJ166" s="901">
        <f t="shared" si="73"/>
        <v>45915</v>
      </c>
      <c r="AK166" s="901">
        <f t="shared" si="73"/>
        <v>45922</v>
      </c>
      <c r="AL166" s="901">
        <f t="shared" si="73"/>
        <v>45929</v>
      </c>
      <c r="AM166" s="901">
        <f t="shared" si="73"/>
        <v>45936</v>
      </c>
      <c r="AN166" s="901">
        <f t="shared" si="73"/>
        <v>45943</v>
      </c>
      <c r="AO166" s="901">
        <f t="shared" si="73"/>
        <v>45950</v>
      </c>
      <c r="AP166" s="901">
        <f t="shared" si="73"/>
        <v>45957</v>
      </c>
      <c r="AQ166" s="901">
        <f t="shared" si="73"/>
        <v>45964</v>
      </c>
      <c r="AR166" s="901">
        <f t="shared" si="73"/>
        <v>45971</v>
      </c>
      <c r="AS166" s="901">
        <f t="shared" si="73"/>
        <v>45978</v>
      </c>
      <c r="AT166" s="901">
        <f t="shared" si="73"/>
        <v>45985</v>
      </c>
      <c r="AU166" s="901">
        <f t="shared" si="73"/>
        <v>45992</v>
      </c>
      <c r="AV166" s="901">
        <f t="shared" si="73"/>
        <v>45999</v>
      </c>
      <c r="AW166" s="901">
        <f t="shared" si="73"/>
        <v>46006</v>
      </c>
      <c r="AX166" s="901">
        <f t="shared" si="73"/>
        <v>46013</v>
      </c>
      <c r="AY166" s="901">
        <f t="shared" si="73"/>
        <v>46020</v>
      </c>
      <c r="AZ166" s="901">
        <f t="shared" si="73"/>
        <v>46027</v>
      </c>
      <c r="BA166" s="901">
        <f t="shared" si="73"/>
        <v>46034</v>
      </c>
      <c r="BB166" s="901">
        <f t="shared" si="73"/>
        <v>46041</v>
      </c>
      <c r="BC166" s="901">
        <f t="shared" si="73"/>
        <v>46048</v>
      </c>
      <c r="BD166" s="901">
        <f t="shared" si="73"/>
        <v>46055</v>
      </c>
      <c r="BE166" s="901">
        <f t="shared" si="73"/>
        <v>46062</v>
      </c>
      <c r="BF166" s="901">
        <f t="shared" si="73"/>
        <v>46069</v>
      </c>
      <c r="BG166" s="901">
        <f t="shared" si="73"/>
        <v>46076</v>
      </c>
      <c r="BH166" s="901">
        <f t="shared" si="73"/>
        <v>46083</v>
      </c>
      <c r="BI166" s="901">
        <f t="shared" si="73"/>
        <v>46090</v>
      </c>
      <c r="BJ166" s="901">
        <f t="shared" si="73"/>
        <v>46097</v>
      </c>
      <c r="BK166" s="901">
        <f t="shared" si="73"/>
        <v>46104</v>
      </c>
      <c r="BL166" s="901">
        <f t="shared" si="73"/>
        <v>46111</v>
      </c>
      <c r="BM166" s="1337">
        <f t="shared" si="73"/>
        <v>46118</v>
      </c>
      <c r="BN166" s="1338">
        <f t="shared" si="73"/>
        <v>46125</v>
      </c>
      <c r="BO166" s="1338">
        <f t="shared" ref="BO166" si="74">IF(WEEKDAY(BO158,1)=2,BO158,BO158-WEEKDAY(BO158,1)+2)</f>
        <v>46132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Engineer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Lead</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TADIndia</v>
      </c>
      <c r="D172" s="1318" t="str">
        <f>IF(K50="","",K50)</f>
        <v>Delivery Manager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Sr. Content Strategist</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TADIndia</v>
      </c>
      <c r="D174" s="1318" t="str">
        <f t="shared" ref="D174:D237" si="81">IF(K52="","",K52)</f>
        <v>Associate Content Strategist</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TADNorthAmerica</v>
      </c>
      <c r="D175" s="1318" t="str">
        <f t="shared" si="81"/>
        <v>Delivery Manager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Data Strategist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0.54317343173431731</v>
      </c>
      <c r="E288" s="520"/>
      <c r="F288" s="521"/>
      <c r="G288" s="1211"/>
      <c r="H288" s="1211"/>
      <c r="J288" s="1211"/>
    </row>
    <row r="289" spans="2:16" ht="25.95" customHeight="1" x14ac:dyDescent="0.25">
      <c r="B289" s="555"/>
      <c r="C289" s="907" t="s">
        <v>2197</v>
      </c>
      <c r="D289" s="908">
        <f>SUM(D291:D390)</f>
        <v>813000</v>
      </c>
      <c r="E289" s="908"/>
      <c r="F289" s="908">
        <f>SUM(F291:F390)</f>
        <v>371400</v>
      </c>
      <c r="G289" s="398"/>
      <c r="H289" s="398"/>
      <c r="K289" s="714"/>
      <c r="M289" s="1349">
        <f>SUM(M291:M346)</f>
        <v>8520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Engineer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81600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3.95" customHeight="1" x14ac:dyDescent="0.25">
      <c r="C292" s="1352" t="str">
        <f t="shared" si="86"/>
        <v>Data Lead</v>
      </c>
      <c r="D292" s="918">
        <f>IFERROR(IF($L292="",(IF($E$26="Select Type","Select Margin Class",IF($E$26="Standard Rates",I292*M292,IF($E$26="Client Custom Rates",K292*M292)))),L292*M292),"")</f>
        <v>51000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21000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3.95" customHeight="1" x14ac:dyDescent="0.25">
      <c r="C293" s="1352" t="str">
        <f t="shared" si="86"/>
        <v>Delivery Manager</v>
      </c>
      <c r="D293" s="918">
        <f t="shared" ref="D293:D356" si="89">IFERROR(IF($L293="",(IF($E$26="Select Type","Select Margin Class",IF($E$26="Standard Rates",I293*M293,IF($E$26="Client Custom Rates",K293*M293)))),L293*M293),"")</f>
        <v>108000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48000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90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Sr. Content Strategist</v>
      </c>
      <c r="D294" s="918">
        <f t="shared" si="89"/>
        <v>78000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24000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Associate Content Strategist</v>
      </c>
      <c r="D295" s="918">
        <f t="shared" si="89"/>
        <v>54000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21600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45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Delivery Manager</v>
      </c>
      <c r="D296" s="918">
        <f t="shared" si="89"/>
        <v>254400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129600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265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Data Strategist</v>
      </c>
      <c r="D297" s="918">
        <f t="shared" si="89"/>
        <v>114000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45600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95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topLeftCell="A3" zoomScale="80" zoomScaleNormal="80" workbookViewId="0">
      <selection activeCell="H6" sqref="H6"/>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AEM Implementation Soyum Foods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45776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45776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3692</v>
      </c>
      <c r="H9" s="386" t="s">
        <v>3693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8.2" thickBot="1" x14ac:dyDescent="0.35">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8.2" thickBot="1" x14ac:dyDescent="0.35">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31.2" thickBot="1" x14ac:dyDescent="0.35">
      <c r="A16" s="192">
        <v>1</v>
      </c>
      <c r="B16" s="193">
        <v>3</v>
      </c>
      <c r="C16" s="193" t="str">
        <f t="shared" ref="C16:C33" si="46">G16&amp;"__"&amp;H16</f>
        <v>Technology Solutions__Data and AI</v>
      </c>
      <c r="D16" s="193" t="str">
        <f t="shared" ref="D16:D33" si="47">G16&amp;"__"&amp;H16&amp;"__"&amp;I16</f>
        <v>Technology Solutions__Data and AI__Technology_Solutions</v>
      </c>
      <c r="E16" s="193">
        <v>21</v>
      </c>
      <c r="F16" s="193">
        <v>8</v>
      </c>
      <c r="G16" s="194" t="str">
        <f>'2. Roles &amp; Pricing'!D48</f>
        <v>Technology Solutions</v>
      </c>
      <c r="H16" s="194" t="str">
        <f>'2. Roles &amp; Pricing'!F48</f>
        <v>Data and AI</v>
      </c>
      <c r="I16" s="194" t="str">
        <f>'2. Roles &amp; Pricing'!E48</f>
        <v>Technology_Solutions</v>
      </c>
      <c r="J16" s="196" t="str">
        <f>'2. Roles &amp; Pricing'!K48</f>
        <v>Data Engineer</v>
      </c>
      <c r="K16" s="197" t="str">
        <f>'2. Roles &amp; Pricing'!W48</f>
        <v>Onshore</v>
      </c>
      <c r="L16" s="195"/>
      <c r="M16" s="196"/>
      <c r="N16" s="707">
        <f>IFERROR('2. Roles &amp; Pricing'!F170/40,"")</f>
        <v>0.8</v>
      </c>
      <c r="O16" s="707">
        <f>IFERROR('2. Roles &amp; Pricing'!I170/40,"")</f>
        <v>0.8</v>
      </c>
      <c r="P16" s="707">
        <f>IFERROR('2. Roles &amp; Pricing'!K170/40,"")</f>
        <v>0.8</v>
      </c>
      <c r="Q16" s="707">
        <f>IFERROR('2. Roles &amp; Pricing'!L170/40,"")</f>
        <v>0.8</v>
      </c>
      <c r="R16" s="707">
        <f>IFERROR('2. Roles &amp; Pricing'!M170/40,"")</f>
        <v>0.8</v>
      </c>
      <c r="S16" s="1620">
        <f>IFERROR('2. Roles &amp; Pricing'!N170/40,"")</f>
        <v>0.8</v>
      </c>
      <c r="T16" s="707">
        <f>IFERROR('2. Roles &amp; Pricing'!O170/40,"")</f>
        <v>0.8</v>
      </c>
      <c r="U16" s="709">
        <f>IFERROR('2. Roles &amp; Pricing'!P170/40,"")</f>
        <v>0.8</v>
      </c>
      <c r="V16" s="709">
        <f>IFERROR('2. Roles &amp; Pricing'!Q170/40,"")</f>
        <v>0.8</v>
      </c>
      <c r="W16" s="709">
        <f>IFERROR('2. Roles &amp; Pricing'!R170/40,"")</f>
        <v>0.8</v>
      </c>
      <c r="X16" s="708">
        <f>IFERROR('2. Roles &amp; Pricing'!S170/40,"")</f>
        <v>0.8</v>
      </c>
      <c r="Y16" s="708">
        <f>IFERROR('2. Roles &amp; Pricing'!T170/40,"")</f>
        <v>0.8</v>
      </c>
      <c r="Z16" s="708">
        <f>IFERROR('2. Roles &amp; Pricing'!U170/40,"")</f>
        <v>0.8</v>
      </c>
      <c r="AA16" s="708">
        <f>IFERROR('2. Roles &amp; Pricing'!Y170/40,"")</f>
        <v>0.8</v>
      </c>
      <c r="AB16" s="708">
        <f>IFERROR('2. Roles &amp; Pricing'!Z170/40,"")</f>
        <v>0.8</v>
      </c>
      <c r="AC16" s="708">
        <f>IFERROR('2. Roles &amp; Pricing'!AA170/40,"")</f>
        <v>0.8</v>
      </c>
      <c r="AD16" s="708">
        <f>IFERROR('2. Roles &amp; Pricing'!AB170/40,"")</f>
        <v>0.8</v>
      </c>
      <c r="AE16" s="708">
        <f>IFERROR('2. Roles &amp; Pricing'!AG170/40,"")</f>
        <v>0.8</v>
      </c>
      <c r="AF16" s="708">
        <f>IFERROR('2. Roles &amp; Pricing'!AH170/40,"")</f>
        <v>0.8</v>
      </c>
      <c r="AG16" s="708">
        <f>IFERROR('2. Roles &amp; Pricing'!AI170/40,"")</f>
        <v>0.8</v>
      </c>
      <c r="AH16" s="708">
        <f>IFERROR('2. Roles &amp; Pricing'!AJ170/40,"")</f>
        <v>0.8</v>
      </c>
      <c r="AI16" s="708">
        <f>IFERROR('2. Roles &amp; Pricing'!AK170/40,"")</f>
        <v>0.8</v>
      </c>
      <c r="AJ16" s="708">
        <f>IFERROR('2. Roles &amp; Pricing'!AL170/40,"")</f>
        <v>0.8</v>
      </c>
      <c r="AK16" s="708">
        <f>IFERROR('2. Roles &amp; Pricing'!AM170/40,"")</f>
        <v>0.8</v>
      </c>
      <c r="AL16" s="708">
        <f>IFERROR('2. Roles &amp; Pricing'!AN170/40,"")</f>
        <v>0.8</v>
      </c>
      <c r="AM16" s="708">
        <f>IFERROR('2. Roles &amp; Pricing'!AO170/40,"")</f>
        <v>0.8</v>
      </c>
      <c r="AN16" s="708">
        <f>IFERROR('2. Roles &amp; Pricing'!AP170/40,"")</f>
        <v>0.8</v>
      </c>
      <c r="AO16" s="708">
        <f>IFERROR('2. Roles &amp; Pricing'!AQ170/40,"")</f>
        <v>0.8</v>
      </c>
      <c r="AP16" s="708">
        <f>IFERROR('2. Roles &amp; Pricing'!AR170/40,"")</f>
        <v>0.8</v>
      </c>
      <c r="AQ16" s="708">
        <f>IFERROR('2. Roles &amp; Pricing'!AS170/40,"")</f>
        <v>0.8</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24.000000000000011</v>
      </c>
      <c r="BO16" s="198">
        <f>+BN16*5</f>
        <v>120.00000000000006</v>
      </c>
      <c r="BP16" s="199">
        <f>'2. Roles &amp; Pricing'!D291</f>
        <v>153600</v>
      </c>
      <c r="BQ16" s="199">
        <f>'2. Roles &amp; Pricing'!F291</f>
        <v>81600</v>
      </c>
      <c r="BR16" s="623">
        <f>'2. Roles &amp; Pricing'!F291</f>
        <v>81600</v>
      </c>
      <c r="BS16" s="200">
        <f>'2. Roles &amp; Pricing'!I291</f>
        <v>160</v>
      </c>
      <c r="BT16" s="201">
        <f>BP16</f>
        <v>153600</v>
      </c>
      <c r="BU16" s="202">
        <f t="shared" ref="BU16:BU33" si="48">BO16*8</f>
        <v>960.00000000000045</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2</v>
      </c>
      <c r="B17" s="206">
        <v>3</v>
      </c>
      <c r="C17" s="207" t="str">
        <f t="shared" si="46"/>
        <v>Technology Solutions__Data and AI</v>
      </c>
      <c r="D17" s="207" t="str">
        <f t="shared" si="47"/>
        <v>Technology Solutions__Data and AI__Technology_Solutions</v>
      </c>
      <c r="E17" s="207">
        <v>21</v>
      </c>
      <c r="F17" s="207">
        <v>8</v>
      </c>
      <c r="G17" s="208" t="str">
        <f>'2. Roles &amp; Pricing'!D49</f>
        <v>Technology Solutions</v>
      </c>
      <c r="H17" s="194" t="str">
        <f>'2. Roles &amp; Pricing'!F49</f>
        <v>Data and AI</v>
      </c>
      <c r="I17" s="194" t="str">
        <f>'2. Roles &amp; Pricing'!E49</f>
        <v>Technology_Solutions</v>
      </c>
      <c r="J17" s="210" t="str">
        <f>'2. Roles &amp; Pricing'!K49</f>
        <v>Data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0.5</v>
      </c>
      <c r="S17" s="707">
        <f>IFERROR('2. Roles &amp; Pricing'!N171/40,"")</f>
        <v>0.5</v>
      </c>
      <c r="T17" s="707">
        <f>IFERROR('2. Roles &amp; Pricing'!O171/40,"")</f>
        <v>0.5</v>
      </c>
      <c r="U17" s="709">
        <f>IFERROR('2. Roles &amp; Pricing'!P171/40,"")</f>
        <v>0.5</v>
      </c>
      <c r="V17" s="709">
        <f>IFERROR('2. Roles &amp; Pricing'!Q171/40,"")</f>
        <v>0.5</v>
      </c>
      <c r="W17" s="709">
        <f>IFERROR('2. Roles &amp; Pricing'!R171/40,"")</f>
        <v>0.5</v>
      </c>
      <c r="X17" s="708">
        <f>IFERROR('2. Roles &amp; Pricing'!S171/40,"")</f>
        <v>0.5</v>
      </c>
      <c r="Y17" s="708">
        <f>IFERROR('2. Roles &amp; Pricing'!T171/40,"")</f>
        <v>0.5</v>
      </c>
      <c r="Z17" s="708">
        <f>IFERROR('2. Roles &amp; Pricing'!U171/40,"")</f>
        <v>0.5</v>
      </c>
      <c r="AA17" s="708">
        <f>IFERROR('2. Roles &amp; Pricing'!Y171/40,"")</f>
        <v>0.5</v>
      </c>
      <c r="AB17" s="708">
        <f>IFERROR('2. Roles &amp; Pricing'!Z171/40,"")</f>
        <v>0.5</v>
      </c>
      <c r="AC17" s="708">
        <f>IFERROR('2. Roles &amp; Pricing'!AA171/40,"")</f>
        <v>0.5</v>
      </c>
      <c r="AD17" s="708">
        <f>IFERROR('2. Roles &amp; Pricing'!AB171/40,"")</f>
        <v>0.5</v>
      </c>
      <c r="AE17" s="708">
        <f>IFERROR('2. Roles &amp; Pricing'!AG171/40,"")</f>
        <v>0.5</v>
      </c>
      <c r="AF17" s="708">
        <f>IFERROR('2. Roles &amp; Pricing'!AH171/40,"")</f>
        <v>0.5</v>
      </c>
      <c r="AG17" s="708">
        <f>IFERROR('2. Roles &amp; Pricing'!AI171/40,"")</f>
        <v>0.5</v>
      </c>
      <c r="AH17" s="708">
        <f>IFERROR('2. Roles &amp; Pricing'!AJ171/40,"")</f>
        <v>0.5</v>
      </c>
      <c r="AI17" s="708">
        <f>IFERROR('2. Roles &amp; Pricing'!AK171/40,"")</f>
        <v>0.5</v>
      </c>
      <c r="AJ17" s="708">
        <f>IFERROR('2. Roles &amp; Pricing'!AL171/40,"")</f>
        <v>0.5</v>
      </c>
      <c r="AK17" s="708">
        <f>IFERROR('2. Roles &amp; Pricing'!AM171/40,"")</f>
        <v>0.5</v>
      </c>
      <c r="AL17" s="708">
        <f>IFERROR('2. Roles &amp; Pricing'!AN171/40,"")</f>
        <v>0.5</v>
      </c>
      <c r="AM17" s="708">
        <f>IFERROR('2. Roles &amp; Pricing'!AO171/40,"")</f>
        <v>0.5</v>
      </c>
      <c r="AN17" s="708">
        <f>IFERROR('2. Roles &amp; Pricing'!AP171/40,"")</f>
        <v>0.5</v>
      </c>
      <c r="AO17" s="708">
        <f>IFERROR('2. Roles &amp; Pricing'!AQ171/40,"")</f>
        <v>0.5</v>
      </c>
      <c r="AP17" s="708">
        <f>IFERROR('2. Roles &amp; Pricing'!AR171/40,"")</f>
        <v>0.5</v>
      </c>
      <c r="AQ17" s="708">
        <f>IFERROR('2. Roles &amp; Pricing'!AS171/40,"")</f>
        <v>0.5</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15</v>
      </c>
      <c r="BO17" s="213">
        <f t="shared" ref="BO17:BO33" si="50">+BN17*5</f>
        <v>75</v>
      </c>
      <c r="BP17" s="199">
        <f>'2. Roles &amp; Pricing'!D292</f>
        <v>51000</v>
      </c>
      <c r="BQ17" s="199">
        <f>'2. Roles &amp; Pricing'!F292</f>
        <v>21000</v>
      </c>
      <c r="BR17" s="623">
        <f>'2. Roles &amp; Pricing'!F292</f>
        <v>21000</v>
      </c>
      <c r="BS17" s="200">
        <f>'2. Roles &amp; Pricing'!I292</f>
        <v>85</v>
      </c>
      <c r="BT17" s="201">
        <f t="shared" ref="BT17:BT33" si="51">BP17</f>
        <v>51000</v>
      </c>
      <c r="BU17" s="214">
        <f t="shared" si="48"/>
        <v>600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Delivery__Delivery</v>
      </c>
      <c r="D18" s="207" t="str">
        <f t="shared" si="47"/>
        <v>Delivery__Delivery__Delivery</v>
      </c>
      <c r="E18" s="207">
        <v>20</v>
      </c>
      <c r="F18" s="207">
        <v>10</v>
      </c>
      <c r="G18" s="208" t="str">
        <f>'2. Roles &amp; Pricing'!D50</f>
        <v>Delivery</v>
      </c>
      <c r="H18" s="194" t="str">
        <f>'2. Roles &amp; Pricing'!F50</f>
        <v>Delivery</v>
      </c>
      <c r="I18" s="194" t="str">
        <f>'2. Roles &amp; Pricing'!E50</f>
        <v>Delivery</v>
      </c>
      <c r="J18" s="210" t="str">
        <f>'2. Roles &amp; Pricing'!K50</f>
        <v>Delivery Manager</v>
      </c>
      <c r="K18" s="197" t="str">
        <f>'2. Roles &amp; Pricing'!W50</f>
        <v>Offshore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108000</v>
      </c>
      <c r="BQ18" s="199">
        <f>'2. Roles &amp; Pricing'!F293</f>
        <v>48000</v>
      </c>
      <c r="BR18" s="623">
        <f>'2. Roles &amp; Pricing'!F293</f>
        <v>48000</v>
      </c>
      <c r="BS18" s="200">
        <f>'2. Roles &amp; Pricing'!I293</f>
        <v>90</v>
      </c>
      <c r="BT18" s="201">
        <f t="shared" si="51"/>
        <v>108000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1.2" thickBot="1" x14ac:dyDescent="0.35">
      <c r="A19" s="205">
        <v>4</v>
      </c>
      <c r="B19" s="206">
        <v>3</v>
      </c>
      <c r="C19" s="207" t="str">
        <f t="shared" si="46"/>
        <v>Experience Design__Strategy</v>
      </c>
      <c r="D19" s="207" t="str">
        <f t="shared" si="47"/>
        <v>Experience Design__Strategy__Experience_Design</v>
      </c>
      <c r="E19" s="207">
        <v>21</v>
      </c>
      <c r="F19" s="207">
        <v>8</v>
      </c>
      <c r="G19" s="208" t="str">
        <f>'2. Roles &amp; Pricing'!D51</f>
        <v>Experience Design</v>
      </c>
      <c r="H19" s="194" t="str">
        <f>'2. Roles &amp; Pricing'!F51</f>
        <v>Strategy</v>
      </c>
      <c r="I19" s="194" t="str">
        <f>'2. Roles &amp; Pricing'!E51</f>
        <v>Experience_Design</v>
      </c>
      <c r="J19" s="210" t="str">
        <f>'2. Roles &amp; Pricing'!K51</f>
        <v>Sr. Content Strategist</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24000</v>
      </c>
      <c r="BR19" s="623">
        <f>'2. Roles &amp; Pricing'!F294</f>
        <v>24000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1.2" thickBot="1" x14ac:dyDescent="0.35">
      <c r="A20" s="205">
        <v>5</v>
      </c>
      <c r="B20" s="206">
        <v>3</v>
      </c>
      <c r="C20" s="207" t="str">
        <f t="shared" si="46"/>
        <v>Experience Design__Strategy</v>
      </c>
      <c r="D20" s="207" t="str">
        <f t="shared" si="47"/>
        <v>Experience Design__Strategy__Experience_Design</v>
      </c>
      <c r="E20" s="207">
        <v>21</v>
      </c>
      <c r="F20" s="207">
        <v>8</v>
      </c>
      <c r="G20" s="208" t="str">
        <f>'2. Roles &amp; Pricing'!D52</f>
        <v>Experience Design</v>
      </c>
      <c r="H20" s="194" t="str">
        <f>'2. Roles &amp; Pricing'!F52</f>
        <v>Strategy</v>
      </c>
      <c r="I20" s="194" t="str">
        <f>'2. Roles &amp; Pricing'!E52</f>
        <v>Experience_Design</v>
      </c>
      <c r="J20" s="210" t="str">
        <f>'2. Roles &amp; Pricing'!K52</f>
        <v>Associate Content Strategist</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54000</v>
      </c>
      <c r="BQ20" s="199">
        <f>'2. Roles &amp; Pricing'!F295</f>
        <v>21600</v>
      </c>
      <c r="BR20" s="623">
        <f>'2. Roles &amp; Pricing'!F295</f>
        <v>21600</v>
      </c>
      <c r="BS20" s="200">
        <f>'2. Roles &amp; Pricing'!I295</f>
        <v>45</v>
      </c>
      <c r="BT20" s="201">
        <f t="shared" si="51"/>
        <v>54000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1" thickBot="1" x14ac:dyDescent="0.35">
      <c r="A21" s="205">
        <v>6</v>
      </c>
      <c r="B21" s="206">
        <v>3</v>
      </c>
      <c r="C21" s="207" t="str">
        <f t="shared" si="46"/>
        <v>Delivery__Delivery</v>
      </c>
      <c r="D21" s="207" t="str">
        <f t="shared" si="47"/>
        <v>Delivery__Delivery__Delivery</v>
      </c>
      <c r="E21" s="207">
        <v>21</v>
      </c>
      <c r="F21" s="207">
        <v>8</v>
      </c>
      <c r="G21" s="208" t="str">
        <f>'2. Roles &amp; Pricing'!D53</f>
        <v>Delivery</v>
      </c>
      <c r="H21" s="194" t="str">
        <f>'2. Roles &amp; Pricing'!F53</f>
        <v>Delivery</v>
      </c>
      <c r="I21" s="194" t="str">
        <f>'2. Roles &amp; Pricing'!E53</f>
        <v>Delivery</v>
      </c>
      <c r="J21" s="210" t="str">
        <f>'2. Roles &amp; Pricing'!K53</f>
        <v>Delivery Manager</v>
      </c>
      <c r="K21" s="197" t="str">
        <f>'2. Roles &amp; Pricing'!W53</f>
        <v>Onshore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254400</v>
      </c>
      <c r="BQ21" s="199">
        <f>'2. Roles &amp; Pricing'!F296</f>
        <v>129600</v>
      </c>
      <c r="BR21" s="623">
        <f>'2. Roles &amp; Pricing'!F296</f>
        <v>129600</v>
      </c>
      <c r="BS21" s="200">
        <f>'2. Roles &amp; Pricing'!I296</f>
        <v>265</v>
      </c>
      <c r="BT21" s="201">
        <f t="shared" si="51"/>
        <v>254400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Salesforce__Data Cloud</v>
      </c>
      <c r="D22" s="207" t="str">
        <f t="shared" si="47"/>
        <v>Salesforce__Data Cloud__Salesforce</v>
      </c>
      <c r="E22" s="207">
        <v>21</v>
      </c>
      <c r="F22" s="207">
        <v>8</v>
      </c>
      <c r="G22" s="208" t="str">
        <f>'2. Roles &amp; Pricing'!D54</f>
        <v>Salesforce</v>
      </c>
      <c r="H22" s="194" t="str">
        <f>'2. Roles &amp; Pricing'!F54</f>
        <v>Data Cloud</v>
      </c>
      <c r="I22" s="194" t="str">
        <f>'2. Roles &amp; Pricing'!E54</f>
        <v>Salesforce</v>
      </c>
      <c r="J22" s="210" t="str">
        <f>'2. Roles &amp; Pricing'!K54</f>
        <v>Data Strategist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114000</v>
      </c>
      <c r="BQ22" s="199">
        <f>'2. Roles &amp; Pricing'!F297</f>
        <v>45600</v>
      </c>
      <c r="BR22" s="623">
        <f>'2. Roles &amp; Pricing'!F297</f>
        <v>45600</v>
      </c>
      <c r="BS22" s="200">
        <f>'2. Roles &amp; Pricing'!I297</f>
        <v>95</v>
      </c>
      <c r="BT22" s="201">
        <f t="shared" si="51"/>
        <v>114000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f>IFERROR('2. Roles &amp; Pricing'!F177/40,"")</f>
        <v>1</v>
      </c>
      <c r="O23" s="707">
        <f>IFERROR('2. Roles &amp; Pricing'!I177/40,"")</f>
        <v>1</v>
      </c>
      <c r="P23" s="707">
        <f>IFERROR('2. Roles &amp; Pricing'!K177/40,"")</f>
        <v>1</v>
      </c>
      <c r="Q23" s="707">
        <f>IFERROR('2. Roles &amp; Pricing'!L177/40,"")</f>
        <v>1</v>
      </c>
      <c r="R23" s="707">
        <f>IFERROR('2. Roles &amp; Pricing'!M177/40,"")</f>
        <v>1</v>
      </c>
      <c r="S23" s="707">
        <f>IFERROR('2. Roles &amp; Pricing'!N177/40,"")</f>
        <v>1</v>
      </c>
      <c r="T23" s="707">
        <f>IFERROR('2. Roles &amp; Pricing'!O177/40,"")</f>
        <v>1</v>
      </c>
      <c r="U23" s="709">
        <f>IFERROR('2. Roles &amp; Pricing'!P177/40,"")</f>
        <v>1</v>
      </c>
      <c r="V23" s="709">
        <f>IFERROR('2. Roles &amp; Pricing'!Q177/40,"")</f>
        <v>1</v>
      </c>
      <c r="W23" s="709">
        <f>IFERROR('2. Roles &amp; Pricing'!R177/40,"")</f>
        <v>1</v>
      </c>
      <c r="X23" s="708">
        <f>IFERROR('2. Roles &amp; Pricing'!S177/40,"")</f>
        <v>1</v>
      </c>
      <c r="Y23" s="708">
        <f>IFERROR('2. Roles &amp; Pricing'!T177/40,"")</f>
        <v>1</v>
      </c>
      <c r="Z23" s="708">
        <f>IFERROR('2. Roles &amp; Pricing'!U177/40,"")</f>
        <v>1</v>
      </c>
      <c r="AA23" s="708">
        <f>IFERROR('2. Roles &amp; Pricing'!Y177/40,"")</f>
        <v>1</v>
      </c>
      <c r="AB23" s="708">
        <f>IFERROR('2. Roles &amp; Pricing'!Z177/40,"")</f>
        <v>1</v>
      </c>
      <c r="AC23" s="708">
        <f>IFERROR('2. Roles &amp; Pricing'!AA177/40,"")</f>
        <v>1</v>
      </c>
      <c r="AD23" s="708">
        <f>IFERROR('2. Roles &amp; Pricing'!AB177/40,"")</f>
        <v>1</v>
      </c>
      <c r="AE23" s="708">
        <f>IFERROR('2. Roles &amp; Pricing'!AG177/40,"")</f>
        <v>1</v>
      </c>
      <c r="AF23" s="708">
        <f>IFERROR('2. Roles &amp; Pricing'!AH177/40,"")</f>
        <v>1</v>
      </c>
      <c r="AG23" s="708">
        <f>IFERROR('2. Roles &amp; Pricing'!AI177/40,"")</f>
        <v>1</v>
      </c>
      <c r="AH23" s="708">
        <f>IFERROR('2. Roles &amp; Pricing'!AJ177/40,"")</f>
        <v>1</v>
      </c>
      <c r="AI23" s="708">
        <f>IFERROR('2. Roles &amp; Pricing'!AK177/40,"")</f>
        <v>1</v>
      </c>
      <c r="AJ23" s="708">
        <f>IFERROR('2. Roles &amp; Pricing'!AL177/40,"")</f>
        <v>1</v>
      </c>
      <c r="AK23" s="708">
        <f>IFERROR('2. Roles &amp; Pricing'!AM177/40,"")</f>
        <v>1</v>
      </c>
      <c r="AL23" s="708">
        <f>IFERROR('2. Roles &amp; Pricing'!AN177/40,"")</f>
        <v>1</v>
      </c>
      <c r="AM23" s="708">
        <f>IFERROR('2. Roles &amp; Pricing'!AO177/40,"")</f>
        <v>1</v>
      </c>
      <c r="AN23" s="708">
        <f>IFERROR('2. Roles &amp; Pricing'!AP177/40,"")</f>
        <v>1</v>
      </c>
      <c r="AO23" s="708">
        <f>IFERROR('2. Roles &amp; Pricing'!AQ177/40,"")</f>
        <v>1</v>
      </c>
      <c r="AP23" s="708">
        <f>IFERROR('2. Roles &amp; Pricing'!AR177/40,"")</f>
        <v>1</v>
      </c>
      <c r="AQ23" s="708">
        <f>IFERROR('2. Roles &amp; Pricing'!AS177/40,"")</f>
        <v>1</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30</v>
      </c>
      <c r="BO23" s="213">
        <f t="shared" si="50"/>
        <v>150</v>
      </c>
      <c r="BP23" s="199">
        <f>'2. Roles &amp; Pricing'!D298</f>
        <v>0</v>
      </c>
      <c r="BQ23" s="199">
        <f>'2. Roles &amp; Pricing'!F298</f>
        <v>0</v>
      </c>
      <c r="BR23" s="623">
        <f>'2. Roles &amp; Pricing'!F298</f>
        <v>0</v>
      </c>
      <c r="BS23" s="200">
        <f>'2. Roles &amp; Pricing'!I298</f>
        <v>0</v>
      </c>
      <c r="BT23" s="201">
        <f t="shared" si="51"/>
        <v>0</v>
      </c>
      <c r="BU23" s="214">
        <f t="shared" si="48"/>
        <v>1200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813000</v>
      </c>
      <c r="BQ34" s="199">
        <f>'2. Roles &amp; Pricing'!F309</f>
        <v>0</v>
      </c>
      <c r="BR34" s="252"/>
      <c r="BS34" s="253"/>
      <c r="BT34" s="254">
        <f>SUM(BT16:BT33)</f>
        <v>813000</v>
      </c>
      <c r="BU34" s="255">
        <f>SUM(BU16:BU33)</f>
        <v>8520</v>
      </c>
    </row>
    <row r="35" spans="1:94" s="204" customFormat="1" ht="14.4" thickBot="1" x14ac:dyDescent="0.35">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0.05</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813000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27100</v>
      </c>
      <c r="O38" s="275">
        <f t="shared" si="52"/>
        <v>27100</v>
      </c>
      <c r="P38" s="276">
        <f t="shared" si="52"/>
        <v>27100</v>
      </c>
      <c r="Q38" s="277">
        <f t="shared" si="52"/>
        <v>27100</v>
      </c>
      <c r="R38" s="278">
        <f t="shared" si="52"/>
        <v>27100</v>
      </c>
      <c r="S38" s="277">
        <f t="shared" si="52"/>
        <v>27100</v>
      </c>
      <c r="T38" s="278">
        <f t="shared" si="52"/>
        <v>27100</v>
      </c>
      <c r="U38" s="277">
        <f t="shared" si="52"/>
        <v>27100</v>
      </c>
      <c r="V38" s="278">
        <f t="shared" si="52"/>
        <v>27100</v>
      </c>
      <c r="W38" s="277">
        <f t="shared" si="52"/>
        <v>27100</v>
      </c>
      <c r="X38" s="278">
        <f t="shared" si="52"/>
        <v>27100</v>
      </c>
      <c r="Y38" s="277">
        <f t="shared" si="52"/>
        <v>27100</v>
      </c>
      <c r="Z38" s="278">
        <f t="shared" si="52"/>
        <v>27100</v>
      </c>
      <c r="AA38" s="277">
        <f t="shared" si="52"/>
        <v>27100</v>
      </c>
      <c r="AB38" s="278">
        <f t="shared" si="52"/>
        <v>27100</v>
      </c>
      <c r="AC38" s="277">
        <f t="shared" si="52"/>
        <v>27100</v>
      </c>
      <c r="AD38" s="278">
        <f t="shared" si="52"/>
        <v>27100</v>
      </c>
      <c r="AE38" s="277">
        <f t="shared" si="52"/>
        <v>27100</v>
      </c>
      <c r="AF38" s="278">
        <f t="shared" si="52"/>
        <v>27100</v>
      </c>
      <c r="AG38" s="277">
        <f t="shared" si="52"/>
        <v>27100</v>
      </c>
      <c r="AH38" s="277">
        <f t="shared" si="52"/>
        <v>27100</v>
      </c>
      <c r="AI38" s="278">
        <f t="shared" si="52"/>
        <v>27100</v>
      </c>
      <c r="AJ38" s="277">
        <f t="shared" si="52"/>
        <v>27100</v>
      </c>
      <c r="AK38" s="278">
        <f t="shared" si="52"/>
        <v>27100</v>
      </c>
      <c r="AL38" s="277">
        <f t="shared" si="52"/>
        <v>27100</v>
      </c>
      <c r="AM38" s="278">
        <f t="shared" si="52"/>
        <v>27100</v>
      </c>
      <c r="AN38" s="277">
        <f t="shared" si="52"/>
        <v>27100</v>
      </c>
      <c r="AO38" s="278">
        <f t="shared" si="52"/>
        <v>27100</v>
      </c>
      <c r="AP38" s="277">
        <f t="shared" si="52"/>
        <v>27100</v>
      </c>
      <c r="AQ38" s="278">
        <f t="shared" si="52"/>
        <v>27100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1138200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27100</v>
      </c>
      <c r="O39" s="1785">
        <f>SUM(O38:Q38)</f>
        <v>81300</v>
      </c>
      <c r="P39" s="1786"/>
      <c r="Q39" s="1787"/>
      <c r="R39" s="1788">
        <f>SUM(R38:S38)</f>
        <v>54200</v>
      </c>
      <c r="S39" s="1789"/>
      <c r="T39" s="1785">
        <f>SUM(T38:U38)</f>
        <v>54200</v>
      </c>
      <c r="U39" s="1787"/>
      <c r="V39" s="1788">
        <f>SUM(V38:AS38)</f>
        <v>596200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975600</v>
      </c>
      <c r="BR39" s="141"/>
      <c r="BS39" s="284" t="s">
        <v>2031</v>
      </c>
      <c r="BT39" s="285">
        <f>BP37-BP36</f>
        <v>813000</v>
      </c>
      <c r="BU39" s="286">
        <f>(BT39-BQ34)/BT39</f>
        <v>1</v>
      </c>
      <c r="BV39" s="285">
        <f>BT39/BU34</f>
        <v>95.422535211267601</v>
      </c>
    </row>
    <row r="40" spans="1:94" s="140" customFormat="1" ht="14.4" thickBot="1" x14ac:dyDescent="0.3">
      <c r="A40" s="141"/>
      <c r="B40" s="262"/>
      <c r="C40" s="262"/>
      <c r="D40" s="262"/>
      <c r="E40" s="262"/>
      <c r="F40" s="262"/>
      <c r="J40" s="287" t="s">
        <v>2032</v>
      </c>
      <c r="K40" s="147"/>
      <c r="N40" s="1791">
        <f>SUM(N38:Q38)</f>
        <v>108400</v>
      </c>
      <c r="O40" s="1792"/>
      <c r="P40" s="1792"/>
      <c r="Q40" s="1792"/>
      <c r="R40" s="1793">
        <f>SUM(R38:U38)</f>
        <v>108400</v>
      </c>
      <c r="S40" s="1794"/>
      <c r="T40" s="1794"/>
      <c r="U40" s="1794"/>
      <c r="V40" s="1791">
        <f>SUM(V38:BE38)</f>
        <v>596200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1056900</v>
      </c>
      <c r="BR40" s="141"/>
      <c r="BS40" s="289" t="s">
        <v>2034</v>
      </c>
      <c r="BT40" s="290">
        <f>BT34-BT36</f>
        <v>812999.95</v>
      </c>
      <c r="BU40" s="291">
        <f>(BT40-BQ34)/BT40</f>
        <v>1</v>
      </c>
      <c r="BV40" s="290">
        <f>BT40/BU34</f>
        <v>95.422529342722996</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813000</v>
      </c>
      <c r="BQ42" s="294" t="s">
        <v>2039</v>
      </c>
      <c r="BR42" s="141"/>
    </row>
    <row r="43" spans="1:94" x14ac:dyDescent="0.25">
      <c r="J43" s="273" t="s">
        <v>180</v>
      </c>
      <c r="N43" s="274">
        <f t="shared" ref="N43:AS43" si="54">SUMPRODUCT(N16:N33,$BS$16:$BS$33)*40*1.2</f>
        <v>32520</v>
      </c>
      <c r="O43" s="278">
        <f t="shared" si="54"/>
        <v>32520</v>
      </c>
      <c r="P43" s="276">
        <f t="shared" si="54"/>
        <v>32520</v>
      </c>
      <c r="Q43" s="277">
        <f t="shared" si="54"/>
        <v>32520</v>
      </c>
      <c r="R43" s="278">
        <f t="shared" si="54"/>
        <v>32520</v>
      </c>
      <c r="S43" s="277">
        <f t="shared" si="54"/>
        <v>32520</v>
      </c>
      <c r="T43" s="278">
        <f t="shared" si="54"/>
        <v>32520</v>
      </c>
      <c r="U43" s="277">
        <f t="shared" si="54"/>
        <v>32520</v>
      </c>
      <c r="V43" s="278">
        <f t="shared" si="54"/>
        <v>32520</v>
      </c>
      <c r="W43" s="277">
        <f t="shared" si="54"/>
        <v>32520</v>
      </c>
      <c r="X43" s="278">
        <f t="shared" si="54"/>
        <v>32520</v>
      </c>
      <c r="Y43" s="277">
        <f t="shared" si="54"/>
        <v>32520</v>
      </c>
      <c r="Z43" s="278">
        <f t="shared" si="54"/>
        <v>32520</v>
      </c>
      <c r="AA43" s="277">
        <f t="shared" si="54"/>
        <v>32520</v>
      </c>
      <c r="AB43" s="278">
        <f t="shared" si="54"/>
        <v>32520</v>
      </c>
      <c r="AC43" s="277">
        <f t="shared" si="54"/>
        <v>32520</v>
      </c>
      <c r="AD43" s="278">
        <f t="shared" si="54"/>
        <v>32520</v>
      </c>
      <c r="AE43" s="277">
        <f t="shared" si="54"/>
        <v>32520</v>
      </c>
      <c r="AF43" s="278">
        <f t="shared" si="54"/>
        <v>32520</v>
      </c>
      <c r="AG43" s="277">
        <f t="shared" si="54"/>
        <v>32520</v>
      </c>
      <c r="AH43" s="277">
        <f t="shared" si="54"/>
        <v>32520</v>
      </c>
      <c r="AI43" s="278">
        <f t="shared" si="54"/>
        <v>32520</v>
      </c>
      <c r="AJ43" s="277">
        <f t="shared" si="54"/>
        <v>32520</v>
      </c>
      <c r="AK43" s="278">
        <f t="shared" si="54"/>
        <v>32520</v>
      </c>
      <c r="AL43" s="277">
        <f t="shared" si="54"/>
        <v>32520</v>
      </c>
      <c r="AM43" s="278">
        <f t="shared" si="54"/>
        <v>32520</v>
      </c>
      <c r="AN43" s="277">
        <f t="shared" si="54"/>
        <v>32520</v>
      </c>
      <c r="AO43" s="278">
        <f t="shared" si="54"/>
        <v>32520</v>
      </c>
      <c r="AP43" s="277">
        <f t="shared" si="54"/>
        <v>32520</v>
      </c>
      <c r="AQ43" s="278">
        <f t="shared" si="54"/>
        <v>32520</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4" thickBot="1" x14ac:dyDescent="0.3">
      <c r="J44" s="273" t="s">
        <v>2029</v>
      </c>
      <c r="N44" s="282">
        <f>SUM(N43)</f>
        <v>32520</v>
      </c>
      <c r="O44" s="1785">
        <f>SUM(O43:Q43)</f>
        <v>97560</v>
      </c>
      <c r="P44" s="1786"/>
      <c r="Q44" s="1787"/>
      <c r="R44" s="1788">
        <f>SUM(R43:S43)</f>
        <v>65040</v>
      </c>
      <c r="S44" s="1789"/>
      <c r="T44" s="1785">
        <f>SUM(T43:U43)</f>
        <v>65040</v>
      </c>
      <c r="U44" s="1787"/>
      <c r="V44" s="1788">
        <f>SUM(V43:AS43)</f>
        <v>715440</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975600</v>
      </c>
      <c r="BU44" s="286">
        <f>(BT44-BQ34)/BT44</f>
        <v>1</v>
      </c>
      <c r="BV44" s="285">
        <f>BT44/BU34</f>
        <v>114.50704225352112</v>
      </c>
    </row>
    <row r="45" spans="1:94" ht="14.4" thickBot="1" x14ac:dyDescent="0.3">
      <c r="J45" s="287" t="s">
        <v>2032</v>
      </c>
      <c r="N45" s="1805">
        <f>SUM(N43:Q43)</f>
        <v>130080</v>
      </c>
      <c r="O45" s="1806"/>
      <c r="P45" s="1806"/>
      <c r="Q45" s="1807"/>
      <c r="R45" s="1818">
        <f t="shared" ref="R45" si="56">SUM(R43:U43)</f>
        <v>130080</v>
      </c>
      <c r="S45" s="1819"/>
      <c r="T45" s="1819"/>
      <c r="U45" s="1820"/>
      <c r="V45" s="1805">
        <f t="shared" ref="V45" si="57">SUM(V43:BE43)</f>
        <v>715440</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975599.94</v>
      </c>
      <c r="BU45" s="291">
        <f>(BT45-BQ34)/BT45</f>
        <v>1</v>
      </c>
      <c r="BV45" s="290">
        <f>BT45/BU34</f>
        <v>114.50703521126759</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35230</v>
      </c>
      <c r="O48" s="278">
        <f t="shared" si="60"/>
        <v>35230</v>
      </c>
      <c r="P48" s="276">
        <f t="shared" si="60"/>
        <v>35230</v>
      </c>
      <c r="Q48" s="277">
        <f t="shared" si="60"/>
        <v>35230</v>
      </c>
      <c r="R48" s="278">
        <f t="shared" si="60"/>
        <v>35230</v>
      </c>
      <c r="S48" s="277">
        <f t="shared" si="60"/>
        <v>35230</v>
      </c>
      <c r="T48" s="278">
        <f t="shared" si="60"/>
        <v>35230</v>
      </c>
      <c r="U48" s="277">
        <f t="shared" si="60"/>
        <v>35230</v>
      </c>
      <c r="V48" s="278">
        <f t="shared" si="60"/>
        <v>35230</v>
      </c>
      <c r="W48" s="277">
        <f t="shared" si="60"/>
        <v>35230</v>
      </c>
      <c r="X48" s="278">
        <f t="shared" si="60"/>
        <v>35230</v>
      </c>
      <c r="Y48" s="277">
        <f t="shared" si="60"/>
        <v>35230</v>
      </c>
      <c r="Z48" s="278">
        <f t="shared" si="60"/>
        <v>35230</v>
      </c>
      <c r="AA48" s="277">
        <f t="shared" si="60"/>
        <v>35230</v>
      </c>
      <c r="AB48" s="278">
        <f t="shared" si="60"/>
        <v>35230</v>
      </c>
      <c r="AC48" s="277">
        <f t="shared" si="60"/>
        <v>35230</v>
      </c>
      <c r="AD48" s="278">
        <f t="shared" si="60"/>
        <v>35230</v>
      </c>
      <c r="AE48" s="277">
        <f t="shared" si="60"/>
        <v>35230</v>
      </c>
      <c r="AF48" s="278">
        <f t="shared" si="60"/>
        <v>35230</v>
      </c>
      <c r="AG48" s="277">
        <f t="shared" si="60"/>
        <v>35230</v>
      </c>
      <c r="AH48" s="277">
        <f t="shared" si="60"/>
        <v>35230</v>
      </c>
      <c r="AI48" s="278">
        <f t="shared" si="60"/>
        <v>35230</v>
      </c>
      <c r="AJ48" s="277">
        <f t="shared" si="60"/>
        <v>35230</v>
      </c>
      <c r="AK48" s="278">
        <f t="shared" si="60"/>
        <v>35230</v>
      </c>
      <c r="AL48" s="277">
        <f t="shared" si="60"/>
        <v>35230</v>
      </c>
      <c r="AM48" s="278">
        <f t="shared" si="60"/>
        <v>35230</v>
      </c>
      <c r="AN48" s="277">
        <f t="shared" si="60"/>
        <v>35230</v>
      </c>
      <c r="AO48" s="278">
        <f t="shared" si="60"/>
        <v>35230</v>
      </c>
      <c r="AP48" s="277">
        <f t="shared" si="60"/>
        <v>35230</v>
      </c>
      <c r="AQ48" s="278">
        <f t="shared" si="60"/>
        <v>35230</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35230</v>
      </c>
      <c r="O49" s="1785">
        <f>SUM(O48:Q48)</f>
        <v>105690</v>
      </c>
      <c r="P49" s="1786"/>
      <c r="Q49" s="1787"/>
      <c r="R49" s="1788">
        <f>SUM(R48:S48)</f>
        <v>70460</v>
      </c>
      <c r="S49" s="1789"/>
      <c r="T49" s="1785">
        <f>SUM(T48:U48)</f>
        <v>70460</v>
      </c>
      <c r="U49" s="1787"/>
      <c r="V49" s="1788">
        <f>SUM(V48:AS48)</f>
        <v>775060</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4" thickBot="1" x14ac:dyDescent="0.3">
      <c r="J50" s="287" t="s">
        <v>2032</v>
      </c>
      <c r="N50" s="1805">
        <f>SUM(N48:Q48)</f>
        <v>140920</v>
      </c>
      <c r="O50" s="1806"/>
      <c r="P50" s="1806"/>
      <c r="Q50" s="1807"/>
      <c r="R50" s="1818">
        <f>SUM(R48:U48)</f>
        <v>140920</v>
      </c>
      <c r="S50" s="1819"/>
      <c r="T50" s="1819"/>
      <c r="U50" s="1820"/>
      <c r="V50" s="1805">
        <f t="shared" ref="V50" si="62">SUM(V48:BE48)</f>
        <v>775060</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4" thickBot="1" x14ac:dyDescent="0.3">
      <c r="BN51" s="1814" t="s">
        <v>2047</v>
      </c>
      <c r="BO51" s="1815"/>
      <c r="BP51" s="863">
        <f>IF(H5="Fixed Price",'4. Summary &amp; Totals'!C61,'4. Summary &amp; Totals'!C45)</f>
        <v>861000</v>
      </c>
    </row>
    <row r="52" spans="1:68" x14ac:dyDescent="0.25">
      <c r="J52" s="304" t="s">
        <v>2048</v>
      </c>
      <c r="K52" s="305">
        <f>+BP34/BO34/8</f>
        <v>95.422535211267601</v>
      </c>
    </row>
    <row r="53" spans="1:68" x14ac:dyDescent="0.25">
      <c r="J53" s="306" t="s">
        <v>2049</v>
      </c>
      <c r="K53" s="307">
        <f>+BP39/BO34/8</f>
        <v>114.50704225352112</v>
      </c>
    </row>
    <row r="54" spans="1:68" ht="14.4" thickBot="1" x14ac:dyDescent="0.3">
      <c r="J54" s="308" t="s">
        <v>2050</v>
      </c>
      <c r="K54" s="309">
        <f>+BP40/BO34/8</f>
        <v>124.04929577464789</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33" activePane="bottomLeft" state="frozen"/>
      <selection activeCell="G20" sqref="G20"/>
      <selection pane="bottomLeft" activeCell="D66" sqref="D66"/>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813000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813000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0.54317343173431731</v>
      </c>
      <c r="C52" s="938">
        <v>0.47</v>
      </c>
      <c r="D52" s="939">
        <f>B52-C52</f>
        <v>7.317343173431734E-2</v>
      </c>
      <c r="E52" s="940">
        <f>'2. Roles &amp; Pricing'!D289/'2. Roles &amp; Pricing'!M289</f>
        <v>95.422535211267601</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1356500</v>
      </c>
      <c r="D56" s="1231">
        <f>('4. Summary &amp; Totals'!$C$67)/(1-D55)+'4. Summary &amp; Totals'!$C$68</f>
        <v>1427815.789473684</v>
      </c>
      <c r="E56" s="1231">
        <f>('4. Summary &amp; Totals'!$C$67)/(1-E55)+'4. Summary &amp; Totals'!$C$68</f>
        <v>1479681.8181818181</v>
      </c>
      <c r="F56" s="1231">
        <f>('4. Summary &amp; Totals'!$C$67)/(1-F55)+'4. Summary &amp; Totals'!$C$68</f>
        <v>1627500</v>
      </c>
      <c r="G56" s="1231">
        <f>('4. Summary &amp; Totals'!$C$67)/(1-G55)+'4. Summary &amp; Totals'!$C$68</f>
        <v>1808166.6666666667</v>
      </c>
      <c r="H56" s="1231" t="str">
        <f>IF(H55="Enter Test Margin %","",('4. Summary &amp; Totals'!$C$67)/(1-H55)+'4. Summary &amp; Totals'!$C$68)</f>
        <v/>
      </c>
      <c r="I56" s="1232" t="s">
        <v>3685</v>
      </c>
    </row>
    <row r="57" spans="2:9" x14ac:dyDescent="0.25">
      <c r="B57" s="945" t="s">
        <v>225</v>
      </c>
      <c r="C57" s="1233">
        <f>IFERROR(ROUNDUP((C56/'2. Roles &amp; Pricing'!$M$289),0),"")</f>
        <v>160</v>
      </c>
      <c r="D57" s="1233">
        <f>ROUNDUP(IFERROR(D56/'2. Roles &amp; Pricing'!$M$289,""),0)</f>
        <v>168</v>
      </c>
      <c r="E57" s="1233">
        <f>ROUNDUP(IFERROR(E56/'2. Roles &amp; Pricing'!$M$289,""),0)</f>
        <v>174</v>
      </c>
      <c r="F57" s="1233">
        <f>ROUNDUP(IFERROR(F56/'2. Roles &amp; Pricing'!$M$289,""),0)</f>
        <v>192</v>
      </c>
      <c r="G57" s="1233">
        <f>ROUNDUP(IFERROR(G56/'2. Roles &amp; Pricing'!$M$289,""),0)</f>
        <v>213</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813000</v>
      </c>
    </row>
    <row r="65" spans="2:8" x14ac:dyDescent="0.25">
      <c r="B65" s="948" t="s">
        <v>1466</v>
      </c>
      <c r="C65" s="949">
        <v>0.05</v>
      </c>
    </row>
    <row r="66" spans="2:8" x14ac:dyDescent="0.25">
      <c r="B66" s="1142" t="s">
        <v>1467</v>
      </c>
      <c r="C66" s="1143" t="s">
        <v>2170</v>
      </c>
    </row>
    <row r="67" spans="2:8" x14ac:dyDescent="0.25">
      <c r="B67" s="1464" t="s">
        <v>1468</v>
      </c>
      <c r="C67" s="1144">
        <f>IFERROR(IF(C65="Enter Discount %",C66,(C64*C65)),"")</f>
        <v>40650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5"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AEM Implementation Soyum Foods</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45776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45776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861000</v>
      </c>
      <c r="D36" s="413"/>
      <c r="E36" s="594"/>
      <c r="F36" s="594"/>
      <c r="G36" s="413"/>
      <c r="S36" s="581"/>
      <c r="T36" s="596"/>
    </row>
    <row r="37" spans="2:20" x14ac:dyDescent="0.25">
      <c r="B37" s="963" t="s">
        <v>3227</v>
      </c>
      <c r="C37" s="1408">
        <f>C53</f>
        <v>0.54546561168594032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861000</v>
      </c>
      <c r="D45" s="413"/>
      <c r="E45" s="594"/>
      <c r="F45" s="594"/>
      <c r="G45" s="413"/>
      <c r="S45" s="581"/>
      <c r="T45" s="596"/>
    </row>
    <row r="46" spans="2:20" x14ac:dyDescent="0.25">
      <c r="B46" s="961" t="s">
        <v>2088</v>
      </c>
      <c r="C46" s="1410">
        <f>COUNTA('2. Roles &amp; Pricing'!K48:K147)</f>
        <v>7</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0.54546561168594032</v>
      </c>
      <c r="E53" s="413"/>
      <c r="J53" s="495"/>
      <c r="K53" s="601"/>
      <c r="L53" s="496"/>
    </row>
    <row r="54" spans="2:20" x14ac:dyDescent="0.25">
      <c r="B54" s="867" t="s">
        <v>111</v>
      </c>
      <c r="C54" s="1413">
        <f>IFERROR('2. Roles &amp; Pricing'!$D$289/'2. Roles &amp; Pricing'!M289,"")</f>
        <v>95.422535211267601</v>
      </c>
      <c r="E54" s="413"/>
      <c r="J54" s="495"/>
      <c r="K54" s="601"/>
      <c r="L54" s="496"/>
    </row>
    <row r="55" spans="2:20" x14ac:dyDescent="0.25">
      <c r="B55" s="1239" t="s">
        <v>2093</v>
      </c>
      <c r="C55" s="1414">
        <f>IFERROR(($C$71+$C$67*(1+C56)),"Enter Contingency % on Summary Inputs")</f>
        <v>860650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40650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820000</v>
      </c>
      <c r="E60" s="484"/>
      <c r="J60" s="495"/>
      <c r="K60" s="601"/>
      <c r="L60" s="496"/>
      <c r="T60" s="605"/>
    </row>
    <row r="61" spans="2:20" x14ac:dyDescent="0.25">
      <c r="B61" s="1238" t="s">
        <v>2081</v>
      </c>
      <c r="C61" s="1540">
        <f>IFERROR(C60*(1+C56),"Incomplete Project Information")</f>
        <v>861000</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813000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40650</v>
      </c>
      <c r="D69" s="413"/>
      <c r="E69" s="413"/>
      <c r="J69" s="495"/>
      <c r="K69" s="601"/>
      <c r="L69" s="496"/>
      <c r="T69" s="605"/>
    </row>
    <row r="70" spans="2:20" ht="18" customHeight="1" x14ac:dyDescent="0.25">
      <c r="B70" s="969" t="s">
        <v>1468</v>
      </c>
      <c r="C70" s="1420">
        <f>-1*'3. Financial Inputs'!C67</f>
        <v>-40650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821500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371400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373400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75</v>
      </c>
      <c r="E85" s="429"/>
      <c r="L85" s="412"/>
    </row>
    <row r="86" spans="2:12" x14ac:dyDescent="0.25">
      <c r="B86" s="1149" t="s">
        <v>191</v>
      </c>
      <c r="C86" s="1422">
        <f>IFERROR((SUMIF('2. Roles &amp; Pricing'!W48:W147,"Onshore",'2. Roles &amp; Pricing'!D291:D390))/SUMIF('2. Roles &amp; Pricing'!W48:W147,"Onshore",'2. Roles &amp; Pricing'!M291:M390),"")</f>
        <v>212.5</v>
      </c>
      <c r="E86" s="429"/>
      <c r="L86" s="412"/>
    </row>
    <row r="87" spans="2:12" x14ac:dyDescent="0.25">
      <c r="B87" s="1149" t="s">
        <v>192</v>
      </c>
      <c r="C87" s="1423">
        <f>IFERROR((COUNTIF('2. Roles &amp; Pricing'!W48:W147,"Offshore")/SUM(COUNTIF('2. Roles &amp; Pricing'!W48:W147,"Onshore"),COUNTIF('2. Roles &amp; Pricing'!W48:W147,"Offshore"))),"")</f>
        <v>0.7142857142857143</v>
      </c>
      <c r="E87" s="429"/>
      <c r="L87" s="412"/>
    </row>
    <row r="88" spans="2:12" x14ac:dyDescent="0.25">
      <c r="B88" s="1149" t="s">
        <v>111</v>
      </c>
      <c r="C88" s="1422">
        <f>IFERROR('2. Roles &amp; Pricing'!D289/'2. Roles &amp; Pricing'!M289,"")</f>
        <v>95.422535211267601</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8520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7</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813000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2160</v>
      </c>
      <c r="D111" s="1447">
        <f>IFERROR(C111/'2. Roles &amp; Pricing'!$M$289,"")</f>
        <v>0.25352112676056338</v>
      </c>
      <c r="E111" s="612"/>
      <c r="F111" s="613"/>
      <c r="H111" s="458"/>
      <c r="I111" s="496"/>
      <c r="J111" s="508"/>
    </row>
    <row r="112" spans="2:10" x14ac:dyDescent="0.25">
      <c r="B112" s="978" t="s">
        <v>114</v>
      </c>
      <c r="C112" s="1446">
        <f>IFERROR(SUMIF('2. Roles &amp; Pricing'!$N$48:$N$147,3,'2. Roles &amp; Pricing'!$M$291:$M$390),"")</f>
        <v>1800</v>
      </c>
      <c r="D112" s="1447">
        <f>IFERROR(C112/'2. Roles &amp; Pricing'!$M$289,"")</f>
        <v>0.21126760563380281</v>
      </c>
      <c r="E112" s="612"/>
      <c r="F112" s="613"/>
      <c r="H112" s="458"/>
      <c r="I112" s="496"/>
      <c r="J112" s="508"/>
    </row>
    <row r="113" spans="2:16" x14ac:dyDescent="0.25">
      <c r="B113" s="978" t="s">
        <v>115</v>
      </c>
      <c r="C113" s="1446">
        <f>IFERROR(SUMIF('2. Roles &amp; Pricing'!$N$48:$N$147,4,'2. Roles &amp; Pricing'!$M$291:$M$390),"")</f>
        <v>1200</v>
      </c>
      <c r="D113" s="1447">
        <f>IFERROR(C113/'2. Roles &amp; Pricing'!$M$289,"")</f>
        <v>0.14084507042253522</v>
      </c>
      <c r="E113" s="612"/>
      <c r="F113" s="613"/>
      <c r="H113" s="458"/>
      <c r="I113" s="496"/>
      <c r="J113" s="508"/>
    </row>
    <row r="114" spans="2:16" x14ac:dyDescent="0.25">
      <c r="B114" s="978" t="s">
        <v>116</v>
      </c>
      <c r="C114" s="1446">
        <f>IFERROR(SUMIF('2. Roles &amp; Pricing'!$N$48:$N$147,5,'2. Roles &amp; Pricing'!$M$291:$M$390),"")</f>
        <v>2160</v>
      </c>
      <c r="D114" s="1447">
        <f>IFERROR(C114/'2. Roles &amp; Pricing'!$M$289,"")</f>
        <v>0.25352112676056338</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AEM Implementation Soyum Foods</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45776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861000</v>
      </c>
      <c r="D26" s="1897"/>
      <c r="E26" s="1897"/>
      <c r="F26" s="1897"/>
      <c r="G26" s="1897"/>
      <c r="H26" s="1898"/>
      <c r="I26" s="1601"/>
      <c r="J26" s="1894"/>
      <c r="K26" s="1894"/>
      <c r="L26" s="1895"/>
    </row>
    <row r="27" spans="2:19" ht="19.95" customHeight="1" x14ac:dyDescent="0.25">
      <c r="B27" s="999" t="s">
        <v>1673</v>
      </c>
      <c r="C27" s="1899">
        <f>'4. Summary &amp; Totals'!C37</f>
        <v>0.54546561168594032</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95.422535211267601</v>
      </c>
      <c r="D30" s="1909"/>
      <c r="E30" s="1909"/>
      <c r="F30" s="1910"/>
      <c r="G30" s="1912">
        <f>'2. Roles &amp; Pricing'!F289/'2. Roles &amp; Pricing'!M289</f>
        <v>43.591549295774648</v>
      </c>
      <c r="H30" s="1913"/>
      <c r="I30" s="1599" t="str">
        <f>IF(OR(C30="",E30=""),"MISSING INFO","")</f>
        <v>MISSING INFO</v>
      </c>
      <c r="J30" s="1882"/>
      <c r="K30" s="1882"/>
      <c r="L30" s="1883"/>
    </row>
    <row r="31" spans="2:19" ht="19.95" customHeight="1" x14ac:dyDescent="0.25">
      <c r="B31" s="999" t="s">
        <v>1898</v>
      </c>
      <c r="C31" s="1908">
        <f>'4. Summary &amp; Totals'!C86</f>
        <v>212.5</v>
      </c>
      <c r="D31" s="1909"/>
      <c r="E31" s="1909"/>
      <c r="F31" s="1910"/>
      <c r="G31" s="1912">
        <f>SUMIFS('2. Roles &amp; Pricing'!$F$291:$F$390,'2. Roles &amp; Pricing'!$W$48:$W$147,"Onshore")/SUMIFS('2. Roles &amp; Pricing'!$M$291:$M$390,'2. Roles &amp; Pricing'!$W$48:$W$147,"Onshore")</f>
        <v>110</v>
      </c>
      <c r="H31" s="1913"/>
      <c r="I31" s="1599" t="str">
        <f>IF(OR(C31="",E31=""),"MISSING INFO","")</f>
        <v>MISSING INFO</v>
      </c>
      <c r="J31" s="1882"/>
      <c r="K31" s="1882"/>
      <c r="L31" s="1883"/>
    </row>
    <row r="32" spans="2:19" ht="19.95" customHeight="1" x14ac:dyDescent="0.25">
      <c r="B32" s="1000" t="s">
        <v>1899</v>
      </c>
      <c r="C32" s="1996">
        <f>'4. Summary &amp; Totals'!C85</f>
        <v>75</v>
      </c>
      <c r="D32" s="1997"/>
      <c r="E32" s="1997"/>
      <c r="F32" s="1998"/>
      <c r="G32" s="1994">
        <f>IFERROR(SUMIFS('2. Roles &amp; Pricing'!$F$291:$F$390,'2. Roles &amp; Pricing'!$W$48:$W$147,"Offshore")/SUMIFS('2. Roles &amp; Pricing'!$M$291:$M$390,'2. Roles &amp; Pricing'!$W$48:$W$147,"Offshore"),"")</f>
        <v>29.666666666666668</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7</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AEM Implementation Soyum Foods</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45776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45776</v>
      </c>
      <c r="E14" s="395"/>
      <c r="F14" s="395"/>
      <c r="G14" s="1475"/>
      <c r="H14" s="413"/>
      <c r="I14" s="1084" t="s">
        <v>3267</v>
      </c>
      <c r="J14" s="1476">
        <f>'1. Project Inputs'!$C$27</f>
        <v>45776</v>
      </c>
      <c r="K14" s="395"/>
      <c r="L14" s="395"/>
      <c r="M14" s="1475"/>
      <c r="N14" s="413"/>
      <c r="O14" s="1084" t="s">
        <v>3267</v>
      </c>
      <c r="P14" s="1476">
        <f>'1. Project Inputs'!$C$27</f>
        <v>45776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444600</v>
      </c>
      <c r="D12" s="1104">
        <f>'2. Roles &amp; Pricing'!AE28</f>
        <v>159000</v>
      </c>
      <c r="E12" s="1105">
        <f>'2. Roles &amp; Pricing'!AF28</f>
        <v>282600</v>
      </c>
    </row>
    <row r="13" spans="2:9" x14ac:dyDescent="0.25">
      <c r="B13" s="1106" t="s">
        <v>1675</v>
      </c>
      <c r="C13" s="1095">
        <f>'2. Roles &amp; Pricing'!AD29</f>
        <v>196200</v>
      </c>
      <c r="D13" s="1095">
        <f>'2. Roles &amp; Pricing'!AE29</f>
        <v>69000</v>
      </c>
      <c r="E13" s="1107">
        <f>'2. Roles &amp; Pricing'!AF29</f>
        <v>126600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466830</v>
      </c>
      <c r="D16" s="1114">
        <f>IFERROR(IF(D14="Manual Entry",(D12+(D12*D15)),(D12+D14+(D12*D15))),"")</f>
        <v>166950</v>
      </c>
      <c r="E16" s="1115">
        <f>IFERROR(IF(E14="Manual Entry",(E12+(E12*E15)),(E12+E14+(E12*E15))),"")</f>
        <v>296730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0.5587044534412956</v>
      </c>
      <c r="D19" s="1116">
        <f>IFERROR((SUMIFS('2. Roles &amp; Pricing'!$D291:$D$390,'2. Roles &amp; Pricing'!AE$48:AE$147,"Yes")-SUMIFS('2. Roles &amp; Pricing'!$F$291:$F$390,'2. Roles &amp; Pricing'!AE$48:AE$147,"Yes"))/SUMIFS('2. Roles &amp; Pricing'!$D$291:$D$390,'2. Roles &amp; Pricing'!AE$48:AE$147,"Yes"),"")</f>
        <v>0.56603773584905659</v>
      </c>
      <c r="E19" s="1117">
        <f>IFERROR((SUMIFS('2. Roles &amp; Pricing'!$D291:$D$390,'2. Roles &amp; Pricing'!AF$48:AF$147,"Yes")-SUMIFS('2. Roles &amp; Pricing'!$F$291:$F$390,'2. Roles &amp; Pricing'!AF$48:AF$147,"Yes"))/SUMIFS('2. Roles &amp; Pricing'!$D$291:$D$390,'2. Roles &amp; Pricing'!AF$48:AF$147,"Yes"),"")</f>
        <v>0.55201698513800423</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69.285714285714292</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88.333333333333329</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56.25</v>
      </c>
      <c r="D21" s="1099" t="str">
        <f>IFERROR((SUMIFS('2. Roles &amp; Pricing'!$D$291:$D$390,'2. Roles &amp; Pricing'!$W49:$W148,"Onshore",'2. Roles &amp; Pricing'!AE$48:AE$147,"Yes"))/SUMIFS('2. Roles &amp; Pricing'!$M$291:$M$390,'2. Roles &amp; Pricing'!$W$48:$W$147,"Onshore",'2. Roles &amp; Pricing'!AE$48:AE$147,"Yes"),"")</f>
        <v/>
      </c>
      <c r="E21" s="1118">
        <f>IFERROR((SUMIFS('2. Roles &amp; Pricing'!$D$291:$D$390,'2. Roles &amp; Pricing'!$W49:$W148,"Onshore",'2. Roles &amp; Pricing'!AF$48:AF$147,"Yes"))/SUMIFS('2. Roles &amp; Pricing'!$M$291:$M$390,'2. Roles &amp; Pricing'!$W$48:$W$147,"Onshore",'2. Roles &amp; Pricing'!AF$48:AF$147,"Yes"),"")</f>
        <v>0</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0.8</v>
      </c>
      <c r="D22" s="1098">
        <f>IFERROR((COUNTIFS('2. Roles &amp; Pricing'!$W$48:$W$147,"Offshore",'2. Roles &amp; Pricing'!AE$48:AE$147,"Yes")/SUM(COUNTIFS('2. Roles &amp; Pricing'!$W$48:$W$147,"Onshore",'2. Roles &amp; Pricing'!AE$48:AE$147,"Yes"),COUNTIFS('2. Roles &amp; Pricing'!$W$48:$W$147,"Offshore",'2. Roles &amp; Pricing'!AE$48:AE$147,"Yes"))),"")</f>
        <v>1</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38.02325581395349</v>
      </c>
      <c r="D23" s="1099">
        <f>'2. Roles &amp; Pricing'!AE30</f>
        <v>38.333333333333336</v>
      </c>
      <c r="E23" s="1118">
        <f>'2. Roles &amp; Pricing'!AF30</f>
        <v>45.869565217391305</v>
      </c>
    </row>
    <row r="24" spans="2:8" x14ac:dyDescent="0.25">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444600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282600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9"/>
      <c r="B1" s="2059"/>
      <c r="C1" s="2059"/>
      <c r="D1" s="134"/>
      <c r="E1" s="134"/>
      <c r="F1" s="134"/>
      <c r="G1" s="134"/>
    </row>
    <row r="2" spans="1:9" ht="14.25" customHeight="1" x14ac:dyDescent="0.25">
      <c r="A2" s="2059"/>
      <c r="B2" s="2059"/>
      <c r="C2" s="2059"/>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5"/>
      <c r="D10" s="2055"/>
      <c r="E10" s="2052"/>
      <c r="F10" s="103"/>
      <c r="H10" s="2050"/>
      <c r="I10" s="2050"/>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3" t="s">
        <v>1282</v>
      </c>
      <c r="C39" s="2054"/>
      <c r="D39" s="2054"/>
      <c r="E39" s="2054"/>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6" t="s">
        <v>1290</v>
      </c>
      <c r="C64" s="2057"/>
      <c r="D64" s="2058"/>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2025-08-29T12:16:21Z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